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140" windowHeight="16540"/>
  </bookViews>
  <sheets>
    <sheet name="Evaluation" sheetId="1" r:id="rId1"/>
    <sheet name="DNA NEB DIGEST" sheetId="2" r:id="rId2"/>
    <sheet name="Mastermix" sheetId="3" r:id="rId3"/>
    <sheet name="Final data" sheetId="4" r:id="rId4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hHdRZXSeiEY00uN/eERmw5jWPPsQ=="/>
    </ext>
  </extLst>
</workbook>
</file>

<file path=xl/calcChain.xml><?xml version="1.0" encoding="utf-8"?>
<calcChain xmlns="http://schemas.openxmlformats.org/spreadsheetml/2006/main">
  <c r="T5" i="3" l="1"/>
  <c r="T8" i="3"/>
  <c r="U5" i="3"/>
  <c r="U8" i="3"/>
  <c r="V8" i="3"/>
  <c r="D23" i="3"/>
  <c r="A22" i="3"/>
  <c r="D24" i="3"/>
  <c r="A23" i="3"/>
  <c r="C8" i="3"/>
  <c r="D8" i="3"/>
  <c r="E8" i="3"/>
  <c r="F8" i="3"/>
  <c r="G8" i="3"/>
  <c r="J5" i="3"/>
  <c r="J8" i="3"/>
  <c r="K8" i="3"/>
  <c r="L8" i="3"/>
  <c r="M8" i="3"/>
  <c r="N8" i="3"/>
  <c r="O8" i="3"/>
  <c r="O5" i="3"/>
  <c r="Q5" i="3"/>
  <c r="P5" i="3"/>
  <c r="P8" i="3"/>
  <c r="Q8" i="3"/>
  <c r="R8" i="3"/>
  <c r="S8" i="3"/>
  <c r="D20" i="3"/>
  <c r="D21" i="3"/>
  <c r="A20" i="3"/>
  <c r="E12" i="3"/>
  <c r="F12" i="3"/>
  <c r="G12" i="3"/>
  <c r="H12" i="3"/>
  <c r="I13" i="3"/>
  <c r="I14" i="3"/>
  <c r="I15" i="3"/>
  <c r="H15" i="3"/>
  <c r="G11" i="3"/>
  <c r="G13" i="3"/>
  <c r="G14" i="3"/>
  <c r="G15" i="3"/>
  <c r="F11" i="3"/>
  <c r="F13" i="3"/>
  <c r="F14" i="3"/>
  <c r="F15" i="3"/>
  <c r="E11" i="3"/>
  <c r="E13" i="3"/>
  <c r="E14" i="3"/>
  <c r="E15" i="3"/>
  <c r="K12" i="3"/>
  <c r="L12" i="3"/>
  <c r="M12" i="3"/>
  <c r="N12" i="3"/>
  <c r="O12" i="3"/>
  <c r="P13" i="3"/>
  <c r="P14" i="3"/>
  <c r="O14" i="3"/>
  <c r="N11" i="3"/>
  <c r="N13" i="3"/>
  <c r="N14" i="3"/>
  <c r="M13" i="3"/>
  <c r="M14" i="3"/>
  <c r="L11" i="3"/>
  <c r="L13" i="3"/>
  <c r="L14" i="3"/>
  <c r="K11" i="3"/>
  <c r="K13" i="3"/>
  <c r="K14" i="3"/>
  <c r="H14" i="3"/>
  <c r="R13" i="3"/>
  <c r="R12" i="3"/>
  <c r="S9" i="3"/>
  <c r="Y5" i="3"/>
  <c r="Z7" i="3"/>
  <c r="Z6" i="3"/>
  <c r="Z5" i="3"/>
  <c r="N2" i="3"/>
  <c r="M2" i="3"/>
  <c r="L2" i="3"/>
  <c r="K2" i="3"/>
  <c r="G2" i="3"/>
  <c r="F2" i="3"/>
  <c r="E2" i="3"/>
  <c r="D2" i="3"/>
  <c r="C2" i="3"/>
  <c r="B2" i="3"/>
  <c r="A2" i="3"/>
  <c r="H43" i="2"/>
  <c r="I43" i="2"/>
  <c r="K43" i="2"/>
  <c r="J43" i="2"/>
  <c r="L43" i="2"/>
  <c r="M43" i="2"/>
  <c r="G40" i="2"/>
  <c r="F40" i="2"/>
  <c r="L40" i="2"/>
  <c r="E40" i="2"/>
  <c r="G39" i="2"/>
  <c r="F39" i="2"/>
  <c r="L39" i="2"/>
  <c r="E39" i="2"/>
  <c r="G38" i="2"/>
  <c r="F38" i="2"/>
  <c r="L38" i="2"/>
  <c r="E38" i="2"/>
  <c r="G37" i="2"/>
  <c r="F37" i="2"/>
  <c r="L37" i="2"/>
  <c r="E37" i="2"/>
  <c r="G36" i="2"/>
  <c r="F36" i="2"/>
  <c r="L36" i="2"/>
  <c r="E36" i="2"/>
  <c r="G35" i="2"/>
  <c r="F35" i="2"/>
  <c r="L35" i="2"/>
  <c r="E35" i="2"/>
  <c r="G34" i="2"/>
  <c r="F34" i="2"/>
  <c r="L34" i="2"/>
  <c r="E34" i="2"/>
  <c r="G33" i="2"/>
  <c r="F33" i="2"/>
  <c r="L33" i="2"/>
  <c r="E33" i="2"/>
  <c r="G32" i="2"/>
  <c r="F32" i="2"/>
  <c r="L32" i="2"/>
  <c r="E32" i="2"/>
  <c r="G31" i="2"/>
  <c r="F31" i="2"/>
  <c r="L31" i="2"/>
  <c r="E31" i="2"/>
  <c r="G30" i="2"/>
  <c r="F30" i="2"/>
  <c r="L30" i="2"/>
  <c r="E30" i="2"/>
  <c r="G29" i="2"/>
  <c r="F29" i="2"/>
  <c r="L29" i="2"/>
  <c r="E29" i="2"/>
  <c r="G28" i="2"/>
  <c r="F28" i="2"/>
  <c r="L28" i="2"/>
  <c r="E28" i="2"/>
  <c r="G27" i="2"/>
  <c r="F27" i="2"/>
  <c r="L27" i="2"/>
  <c r="E27" i="2"/>
  <c r="G26" i="2"/>
  <c r="F26" i="2"/>
  <c r="L26" i="2"/>
  <c r="E26" i="2"/>
  <c r="G25" i="2"/>
  <c r="F25" i="2"/>
  <c r="L25" i="2"/>
  <c r="E25" i="2"/>
  <c r="G24" i="2"/>
  <c r="F24" i="2"/>
  <c r="L24" i="2"/>
  <c r="E24" i="2"/>
  <c r="G23" i="2"/>
  <c r="F23" i="2"/>
  <c r="L23" i="2"/>
  <c r="E23" i="2"/>
  <c r="G22" i="2"/>
  <c r="F22" i="2"/>
  <c r="L22" i="2"/>
  <c r="E22" i="2"/>
  <c r="G21" i="2"/>
  <c r="F21" i="2"/>
  <c r="L21" i="2"/>
  <c r="E21" i="2"/>
  <c r="G20" i="2"/>
  <c r="F20" i="2"/>
  <c r="L20" i="2"/>
  <c r="E20" i="2"/>
  <c r="G19" i="2"/>
  <c r="F19" i="2"/>
  <c r="L19" i="2"/>
  <c r="E19" i="2"/>
  <c r="G18" i="2"/>
  <c r="F18" i="2"/>
  <c r="L18" i="2"/>
  <c r="E18" i="2"/>
  <c r="G17" i="2"/>
  <c r="F17" i="2"/>
  <c r="L17" i="2"/>
  <c r="E17" i="2"/>
  <c r="G16" i="2"/>
  <c r="F16" i="2"/>
  <c r="L16" i="2"/>
  <c r="E16" i="2"/>
  <c r="G15" i="2"/>
  <c r="F15" i="2"/>
  <c r="L15" i="2"/>
  <c r="E15" i="2"/>
  <c r="G14" i="2"/>
  <c r="F14" i="2"/>
  <c r="L14" i="2"/>
  <c r="E14" i="2"/>
  <c r="G13" i="2"/>
  <c r="F13" i="2"/>
  <c r="L13" i="2"/>
  <c r="E13" i="2"/>
  <c r="G12" i="2"/>
  <c r="F12" i="2"/>
  <c r="L12" i="2"/>
  <c r="E12" i="2"/>
  <c r="G11" i="2"/>
  <c r="F11" i="2"/>
  <c r="L11" i="2"/>
  <c r="E11" i="2"/>
  <c r="G10" i="2"/>
  <c r="F10" i="2"/>
  <c r="L10" i="2"/>
  <c r="E10" i="2"/>
  <c r="G9" i="2"/>
  <c r="F9" i="2"/>
  <c r="L9" i="2"/>
  <c r="E9" i="2"/>
  <c r="G8" i="2"/>
  <c r="F8" i="2"/>
  <c r="L8" i="2"/>
  <c r="E8" i="2"/>
  <c r="G7" i="2"/>
  <c r="F7" i="2"/>
  <c r="L7" i="2"/>
  <c r="E7" i="2"/>
  <c r="G6" i="2"/>
  <c r="F6" i="2"/>
  <c r="L6" i="2"/>
  <c r="E6" i="2"/>
  <c r="G5" i="2"/>
  <c r="F5" i="2"/>
  <c r="L5" i="2"/>
  <c r="E5" i="2"/>
  <c r="F3" i="2"/>
  <c r="L3" i="2"/>
  <c r="E3" i="2"/>
  <c r="Z3" i="1"/>
  <c r="Z46" i="1"/>
  <c r="Z47" i="1"/>
  <c r="V3" i="1"/>
  <c r="V46" i="1"/>
  <c r="V47" i="1"/>
  <c r="R3" i="1"/>
  <c r="R46" i="1"/>
  <c r="R47" i="1"/>
  <c r="N3" i="1"/>
  <c r="N46" i="1"/>
  <c r="N47" i="1"/>
  <c r="J3" i="1"/>
  <c r="J46" i="1"/>
  <c r="J47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4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4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4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4" i="1"/>
  <c r="Z43" i="1"/>
  <c r="V43" i="1"/>
  <c r="R43" i="1"/>
  <c r="N43" i="1"/>
  <c r="J43" i="1"/>
  <c r="Z42" i="1"/>
  <c r="V42" i="1"/>
  <c r="R42" i="1"/>
  <c r="N42" i="1"/>
  <c r="J42" i="1"/>
  <c r="AI39" i="1"/>
  <c r="AL39" i="1"/>
  <c r="AT39" i="1"/>
  <c r="AM39" i="1"/>
  <c r="AO39" i="1"/>
  <c r="AE39" i="1"/>
  <c r="AP39" i="1"/>
  <c r="AF39" i="1"/>
  <c r="AQ39" i="1"/>
  <c r="AU39" i="1"/>
  <c r="BF39" i="1"/>
  <c r="AH39" i="1"/>
  <c r="AS39" i="1"/>
  <c r="BE39" i="1"/>
  <c r="AG39" i="1"/>
  <c r="AR39" i="1"/>
  <c r="BD39" i="1"/>
  <c r="BC39" i="1"/>
  <c r="BB39" i="1"/>
  <c r="BA39" i="1"/>
  <c r="AZ39" i="1"/>
  <c r="AY39" i="1"/>
  <c r="AX39" i="1"/>
  <c r="AI38" i="1"/>
  <c r="AL38" i="1"/>
  <c r="AT38" i="1"/>
  <c r="AM38" i="1"/>
  <c r="AO38" i="1"/>
  <c r="AE38" i="1"/>
  <c r="AP38" i="1"/>
  <c r="AF38" i="1"/>
  <c r="AQ38" i="1"/>
  <c r="AU38" i="1"/>
  <c r="BF38" i="1"/>
  <c r="AH38" i="1"/>
  <c r="AS38" i="1"/>
  <c r="BE38" i="1"/>
  <c r="AG38" i="1"/>
  <c r="AR38" i="1"/>
  <c r="BD38" i="1"/>
  <c r="BC38" i="1"/>
  <c r="BB38" i="1"/>
  <c r="BA38" i="1"/>
  <c r="AZ38" i="1"/>
  <c r="AY38" i="1"/>
  <c r="AX38" i="1"/>
  <c r="AI37" i="1"/>
  <c r="AL37" i="1"/>
  <c r="AT37" i="1"/>
  <c r="AM37" i="1"/>
  <c r="AO37" i="1"/>
  <c r="AE37" i="1"/>
  <c r="AP37" i="1"/>
  <c r="AF37" i="1"/>
  <c r="AQ37" i="1"/>
  <c r="AU37" i="1"/>
  <c r="BF37" i="1"/>
  <c r="AH37" i="1"/>
  <c r="AS37" i="1"/>
  <c r="BE37" i="1"/>
  <c r="AG37" i="1"/>
  <c r="AR37" i="1"/>
  <c r="BD37" i="1"/>
  <c r="BC37" i="1"/>
  <c r="BB37" i="1"/>
  <c r="BA37" i="1"/>
  <c r="AZ37" i="1"/>
  <c r="AY37" i="1"/>
  <c r="AX37" i="1"/>
  <c r="AI36" i="1"/>
  <c r="AL36" i="1"/>
  <c r="AT36" i="1"/>
  <c r="AM36" i="1"/>
  <c r="AO36" i="1"/>
  <c r="AE36" i="1"/>
  <c r="AP36" i="1"/>
  <c r="AF36" i="1"/>
  <c r="AQ36" i="1"/>
  <c r="AU36" i="1"/>
  <c r="BF36" i="1"/>
  <c r="AH36" i="1"/>
  <c r="AS36" i="1"/>
  <c r="BE36" i="1"/>
  <c r="AG36" i="1"/>
  <c r="AR36" i="1"/>
  <c r="BD36" i="1"/>
  <c r="BC36" i="1"/>
  <c r="BB36" i="1"/>
  <c r="BA36" i="1"/>
  <c r="AZ36" i="1"/>
  <c r="AY36" i="1"/>
  <c r="AX36" i="1"/>
  <c r="AI35" i="1"/>
  <c r="AL35" i="1"/>
  <c r="AT35" i="1"/>
  <c r="AM35" i="1"/>
  <c r="AO35" i="1"/>
  <c r="AE35" i="1"/>
  <c r="AP35" i="1"/>
  <c r="AF35" i="1"/>
  <c r="AQ35" i="1"/>
  <c r="AU35" i="1"/>
  <c r="BF35" i="1"/>
  <c r="AH35" i="1"/>
  <c r="AS35" i="1"/>
  <c r="BE35" i="1"/>
  <c r="AG35" i="1"/>
  <c r="AR35" i="1"/>
  <c r="BD35" i="1"/>
  <c r="BC35" i="1"/>
  <c r="BB35" i="1"/>
  <c r="BA35" i="1"/>
  <c r="AZ35" i="1"/>
  <c r="AY35" i="1"/>
  <c r="AX35" i="1"/>
  <c r="AI34" i="1"/>
  <c r="AL34" i="1"/>
  <c r="AT34" i="1"/>
  <c r="AM34" i="1"/>
  <c r="AO34" i="1"/>
  <c r="AE34" i="1"/>
  <c r="AP34" i="1"/>
  <c r="AF34" i="1"/>
  <c r="AQ34" i="1"/>
  <c r="AU34" i="1"/>
  <c r="BF34" i="1"/>
  <c r="AH34" i="1"/>
  <c r="AS34" i="1"/>
  <c r="BE34" i="1"/>
  <c r="AG34" i="1"/>
  <c r="AR34" i="1"/>
  <c r="BD34" i="1"/>
  <c r="BC34" i="1"/>
  <c r="BB34" i="1"/>
  <c r="BA34" i="1"/>
  <c r="AZ34" i="1"/>
  <c r="AY34" i="1"/>
  <c r="AX34" i="1"/>
  <c r="AI33" i="1"/>
  <c r="AL33" i="1"/>
  <c r="AT33" i="1"/>
  <c r="AM33" i="1"/>
  <c r="AO33" i="1"/>
  <c r="AE33" i="1"/>
  <c r="AP33" i="1"/>
  <c r="AF33" i="1"/>
  <c r="AQ33" i="1"/>
  <c r="AU33" i="1"/>
  <c r="BF33" i="1"/>
  <c r="AH33" i="1"/>
  <c r="AS33" i="1"/>
  <c r="BE33" i="1"/>
  <c r="AG33" i="1"/>
  <c r="AR33" i="1"/>
  <c r="BD33" i="1"/>
  <c r="BC33" i="1"/>
  <c r="BB33" i="1"/>
  <c r="BA33" i="1"/>
  <c r="AZ33" i="1"/>
  <c r="AY33" i="1"/>
  <c r="AX33" i="1"/>
  <c r="AI32" i="1"/>
  <c r="AL32" i="1"/>
  <c r="AT32" i="1"/>
  <c r="AM32" i="1"/>
  <c r="AO32" i="1"/>
  <c r="AE32" i="1"/>
  <c r="AP32" i="1"/>
  <c r="AF32" i="1"/>
  <c r="AQ32" i="1"/>
  <c r="AU32" i="1"/>
  <c r="BF32" i="1"/>
  <c r="AH32" i="1"/>
  <c r="AS32" i="1"/>
  <c r="BE32" i="1"/>
  <c r="AG32" i="1"/>
  <c r="AR32" i="1"/>
  <c r="BD32" i="1"/>
  <c r="BC32" i="1"/>
  <c r="BB32" i="1"/>
  <c r="BA32" i="1"/>
  <c r="AZ32" i="1"/>
  <c r="AY32" i="1"/>
  <c r="AX32" i="1"/>
  <c r="BR31" i="1"/>
  <c r="BQ31" i="1"/>
  <c r="BP31" i="1"/>
  <c r="BO31" i="1"/>
  <c r="BN31" i="1"/>
  <c r="BM31" i="1"/>
  <c r="BL31" i="1"/>
  <c r="BK31" i="1"/>
  <c r="BJ31" i="1"/>
  <c r="AI31" i="1"/>
  <c r="AL31" i="1"/>
  <c r="AT31" i="1"/>
  <c r="AM31" i="1"/>
  <c r="AO31" i="1"/>
  <c r="AE31" i="1"/>
  <c r="AP31" i="1"/>
  <c r="AF31" i="1"/>
  <c r="AQ31" i="1"/>
  <c r="AU31" i="1"/>
  <c r="BF31" i="1"/>
  <c r="AH31" i="1"/>
  <c r="AS31" i="1"/>
  <c r="BE31" i="1"/>
  <c r="AG31" i="1"/>
  <c r="AR31" i="1"/>
  <c r="BD31" i="1"/>
  <c r="BC31" i="1"/>
  <c r="BB31" i="1"/>
  <c r="BA31" i="1"/>
  <c r="AZ31" i="1"/>
  <c r="AY31" i="1"/>
  <c r="AX31" i="1"/>
  <c r="BR30" i="1"/>
  <c r="BQ30" i="1"/>
  <c r="BP30" i="1"/>
  <c r="BO30" i="1"/>
  <c r="BN30" i="1"/>
  <c r="BM30" i="1"/>
  <c r="BL30" i="1"/>
  <c r="BK30" i="1"/>
  <c r="BJ30" i="1"/>
  <c r="AI30" i="1"/>
  <c r="AL30" i="1"/>
  <c r="AT30" i="1"/>
  <c r="AM30" i="1"/>
  <c r="AO30" i="1"/>
  <c r="AE30" i="1"/>
  <c r="AP30" i="1"/>
  <c r="AF30" i="1"/>
  <c r="AQ30" i="1"/>
  <c r="AU30" i="1"/>
  <c r="BF30" i="1"/>
  <c r="AH30" i="1"/>
  <c r="AS30" i="1"/>
  <c r="BE30" i="1"/>
  <c r="AG30" i="1"/>
  <c r="AR30" i="1"/>
  <c r="BD30" i="1"/>
  <c r="BC30" i="1"/>
  <c r="BB30" i="1"/>
  <c r="BA30" i="1"/>
  <c r="AZ30" i="1"/>
  <c r="AY30" i="1"/>
  <c r="AX30" i="1"/>
  <c r="BR29" i="1"/>
  <c r="BQ29" i="1"/>
  <c r="BP29" i="1"/>
  <c r="BO29" i="1"/>
  <c r="BN29" i="1"/>
  <c r="BM29" i="1"/>
  <c r="BL29" i="1"/>
  <c r="BK29" i="1"/>
  <c r="BJ29" i="1"/>
  <c r="AI29" i="1"/>
  <c r="AL29" i="1"/>
  <c r="AT29" i="1"/>
  <c r="AM29" i="1"/>
  <c r="AO29" i="1"/>
  <c r="AE29" i="1"/>
  <c r="AP29" i="1"/>
  <c r="AF29" i="1"/>
  <c r="AQ29" i="1"/>
  <c r="AU29" i="1"/>
  <c r="BF29" i="1"/>
  <c r="AH29" i="1"/>
  <c r="AS29" i="1"/>
  <c r="BE29" i="1"/>
  <c r="AG29" i="1"/>
  <c r="AR29" i="1"/>
  <c r="BD29" i="1"/>
  <c r="BC29" i="1"/>
  <c r="BB29" i="1"/>
  <c r="BA29" i="1"/>
  <c r="AZ29" i="1"/>
  <c r="AY29" i="1"/>
  <c r="AX29" i="1"/>
  <c r="AI28" i="1"/>
  <c r="AL28" i="1"/>
  <c r="AT28" i="1"/>
  <c r="AM28" i="1"/>
  <c r="AO28" i="1"/>
  <c r="AE28" i="1"/>
  <c r="AP28" i="1"/>
  <c r="AF28" i="1"/>
  <c r="AQ28" i="1"/>
  <c r="AU28" i="1"/>
  <c r="BF28" i="1"/>
  <c r="BR28" i="1"/>
  <c r="AH28" i="1"/>
  <c r="AS28" i="1"/>
  <c r="BE28" i="1"/>
  <c r="BQ28" i="1"/>
  <c r="AG28" i="1"/>
  <c r="AR28" i="1"/>
  <c r="BD28" i="1"/>
  <c r="BP28" i="1"/>
  <c r="BC28" i="1"/>
  <c r="BO28" i="1"/>
  <c r="BB28" i="1"/>
  <c r="BN28" i="1"/>
  <c r="BA28" i="1"/>
  <c r="BM28" i="1"/>
  <c r="AZ28" i="1"/>
  <c r="BL28" i="1"/>
  <c r="AY28" i="1"/>
  <c r="BK28" i="1"/>
  <c r="AX28" i="1"/>
  <c r="BJ28" i="1"/>
  <c r="AI25" i="1"/>
  <c r="AL25" i="1"/>
  <c r="AT25" i="1"/>
  <c r="AM25" i="1"/>
  <c r="AO25" i="1"/>
  <c r="AE25" i="1"/>
  <c r="AP25" i="1"/>
  <c r="AF25" i="1"/>
  <c r="AQ25" i="1"/>
  <c r="AU25" i="1"/>
  <c r="BF25" i="1"/>
  <c r="AI26" i="1"/>
  <c r="AL26" i="1"/>
  <c r="AT26" i="1"/>
  <c r="AM26" i="1"/>
  <c r="AO26" i="1"/>
  <c r="AE26" i="1"/>
  <c r="AP26" i="1"/>
  <c r="AF26" i="1"/>
  <c r="AQ26" i="1"/>
  <c r="AU26" i="1"/>
  <c r="BF26" i="1"/>
  <c r="AI27" i="1"/>
  <c r="AL27" i="1"/>
  <c r="AT27" i="1"/>
  <c r="AM27" i="1"/>
  <c r="AO27" i="1"/>
  <c r="AE27" i="1"/>
  <c r="AP27" i="1"/>
  <c r="AF27" i="1"/>
  <c r="AQ27" i="1"/>
  <c r="AU27" i="1"/>
  <c r="BF27" i="1"/>
  <c r="BR27" i="1"/>
  <c r="AH25" i="1"/>
  <c r="AS25" i="1"/>
  <c r="BE25" i="1"/>
  <c r="AH26" i="1"/>
  <c r="AS26" i="1"/>
  <c r="BE26" i="1"/>
  <c r="AH27" i="1"/>
  <c r="AS27" i="1"/>
  <c r="BE27" i="1"/>
  <c r="BQ27" i="1"/>
  <c r="AG25" i="1"/>
  <c r="AR25" i="1"/>
  <c r="BD25" i="1"/>
  <c r="AG26" i="1"/>
  <c r="AR26" i="1"/>
  <c r="BD26" i="1"/>
  <c r="AG27" i="1"/>
  <c r="AR27" i="1"/>
  <c r="BD27" i="1"/>
  <c r="BP27" i="1"/>
  <c r="BC25" i="1"/>
  <c r="BC26" i="1"/>
  <c r="BC27" i="1"/>
  <c r="BO27" i="1"/>
  <c r="BB25" i="1"/>
  <c r="BB26" i="1"/>
  <c r="BB27" i="1"/>
  <c r="BN27" i="1"/>
  <c r="BA25" i="1"/>
  <c r="BA26" i="1"/>
  <c r="BA27" i="1"/>
  <c r="BM27" i="1"/>
  <c r="AZ25" i="1"/>
  <c r="AZ26" i="1"/>
  <c r="AZ27" i="1"/>
  <c r="BL27" i="1"/>
  <c r="AY25" i="1"/>
  <c r="AY26" i="1"/>
  <c r="AY27" i="1"/>
  <c r="BK27" i="1"/>
  <c r="AX25" i="1"/>
  <c r="AX26" i="1"/>
  <c r="AX27" i="1"/>
  <c r="BJ27" i="1"/>
  <c r="AI22" i="1"/>
  <c r="AL22" i="1"/>
  <c r="AT22" i="1"/>
  <c r="AM22" i="1"/>
  <c r="AO22" i="1"/>
  <c r="AE22" i="1"/>
  <c r="AP22" i="1"/>
  <c r="AF22" i="1"/>
  <c r="AQ22" i="1"/>
  <c r="AU22" i="1"/>
  <c r="BF22" i="1"/>
  <c r="AI23" i="1"/>
  <c r="AL23" i="1"/>
  <c r="AT23" i="1"/>
  <c r="AM23" i="1"/>
  <c r="AO23" i="1"/>
  <c r="AE23" i="1"/>
  <c r="AP23" i="1"/>
  <c r="AF23" i="1"/>
  <c r="AQ23" i="1"/>
  <c r="AU23" i="1"/>
  <c r="BF23" i="1"/>
  <c r="AI24" i="1"/>
  <c r="AL24" i="1"/>
  <c r="AT24" i="1"/>
  <c r="AM24" i="1"/>
  <c r="AO24" i="1"/>
  <c r="AE24" i="1"/>
  <c r="AP24" i="1"/>
  <c r="AF24" i="1"/>
  <c r="AQ24" i="1"/>
  <c r="AU24" i="1"/>
  <c r="BF24" i="1"/>
  <c r="BR26" i="1"/>
  <c r="AH22" i="1"/>
  <c r="AS22" i="1"/>
  <c r="BE22" i="1"/>
  <c r="AH23" i="1"/>
  <c r="AS23" i="1"/>
  <c r="BE23" i="1"/>
  <c r="AH24" i="1"/>
  <c r="AS24" i="1"/>
  <c r="BE24" i="1"/>
  <c r="BQ26" i="1"/>
  <c r="AG22" i="1"/>
  <c r="AR22" i="1"/>
  <c r="BD22" i="1"/>
  <c r="AG23" i="1"/>
  <c r="AR23" i="1"/>
  <c r="BD23" i="1"/>
  <c r="AG24" i="1"/>
  <c r="AR24" i="1"/>
  <c r="BD24" i="1"/>
  <c r="BP26" i="1"/>
  <c r="BC22" i="1"/>
  <c r="BC23" i="1"/>
  <c r="BC24" i="1"/>
  <c r="BO26" i="1"/>
  <c r="BB22" i="1"/>
  <c r="BB23" i="1"/>
  <c r="BB24" i="1"/>
  <c r="BN26" i="1"/>
  <c r="BA22" i="1"/>
  <c r="BA23" i="1"/>
  <c r="BA24" i="1"/>
  <c r="BM26" i="1"/>
  <c r="AZ22" i="1"/>
  <c r="AZ23" i="1"/>
  <c r="AZ24" i="1"/>
  <c r="BL26" i="1"/>
  <c r="AY22" i="1"/>
  <c r="AY23" i="1"/>
  <c r="AY24" i="1"/>
  <c r="BK26" i="1"/>
  <c r="AX22" i="1"/>
  <c r="AX23" i="1"/>
  <c r="AX24" i="1"/>
  <c r="BJ26" i="1"/>
  <c r="AI19" i="1"/>
  <c r="AL19" i="1"/>
  <c r="AT19" i="1"/>
  <c r="AM19" i="1"/>
  <c r="AO19" i="1"/>
  <c r="AE19" i="1"/>
  <c r="AP19" i="1"/>
  <c r="AF19" i="1"/>
  <c r="AQ19" i="1"/>
  <c r="AU19" i="1"/>
  <c r="BF19" i="1"/>
  <c r="AI20" i="1"/>
  <c r="AL20" i="1"/>
  <c r="AT20" i="1"/>
  <c r="AM20" i="1"/>
  <c r="AO20" i="1"/>
  <c r="AE20" i="1"/>
  <c r="AP20" i="1"/>
  <c r="AF20" i="1"/>
  <c r="AQ20" i="1"/>
  <c r="AU20" i="1"/>
  <c r="BF20" i="1"/>
  <c r="AI21" i="1"/>
  <c r="AL21" i="1"/>
  <c r="AT21" i="1"/>
  <c r="AM21" i="1"/>
  <c r="AO21" i="1"/>
  <c r="AE21" i="1"/>
  <c r="AP21" i="1"/>
  <c r="AF21" i="1"/>
  <c r="AQ21" i="1"/>
  <c r="AU21" i="1"/>
  <c r="BF21" i="1"/>
  <c r="BR25" i="1"/>
  <c r="AH19" i="1"/>
  <c r="AS19" i="1"/>
  <c r="BE19" i="1"/>
  <c r="AH20" i="1"/>
  <c r="AS20" i="1"/>
  <c r="BE20" i="1"/>
  <c r="AH21" i="1"/>
  <c r="AS21" i="1"/>
  <c r="BE21" i="1"/>
  <c r="BQ25" i="1"/>
  <c r="AG19" i="1"/>
  <c r="AR19" i="1"/>
  <c r="BD19" i="1"/>
  <c r="AG20" i="1"/>
  <c r="AR20" i="1"/>
  <c r="BD20" i="1"/>
  <c r="AG21" i="1"/>
  <c r="AR21" i="1"/>
  <c r="BD21" i="1"/>
  <c r="BP25" i="1"/>
  <c r="BC19" i="1"/>
  <c r="BC20" i="1"/>
  <c r="BC21" i="1"/>
  <c r="BO25" i="1"/>
  <c r="BB19" i="1"/>
  <c r="BB20" i="1"/>
  <c r="BB21" i="1"/>
  <c r="BN25" i="1"/>
  <c r="BA19" i="1"/>
  <c r="BA20" i="1"/>
  <c r="BA21" i="1"/>
  <c r="BM25" i="1"/>
  <c r="AZ19" i="1"/>
  <c r="AZ20" i="1"/>
  <c r="AZ21" i="1"/>
  <c r="BL25" i="1"/>
  <c r="AY19" i="1"/>
  <c r="AY20" i="1"/>
  <c r="AY21" i="1"/>
  <c r="BK25" i="1"/>
  <c r="AX19" i="1"/>
  <c r="AX20" i="1"/>
  <c r="AX21" i="1"/>
  <c r="BJ25" i="1"/>
  <c r="AI16" i="1"/>
  <c r="AL16" i="1"/>
  <c r="AT16" i="1"/>
  <c r="AM16" i="1"/>
  <c r="AO16" i="1"/>
  <c r="AE16" i="1"/>
  <c r="AP16" i="1"/>
  <c r="AF16" i="1"/>
  <c r="AQ16" i="1"/>
  <c r="AU16" i="1"/>
  <c r="BF16" i="1"/>
  <c r="AI17" i="1"/>
  <c r="AL17" i="1"/>
  <c r="AT17" i="1"/>
  <c r="AM17" i="1"/>
  <c r="AO17" i="1"/>
  <c r="AE17" i="1"/>
  <c r="AP17" i="1"/>
  <c r="AF17" i="1"/>
  <c r="AQ17" i="1"/>
  <c r="AU17" i="1"/>
  <c r="BF17" i="1"/>
  <c r="AI18" i="1"/>
  <c r="AL18" i="1"/>
  <c r="AT18" i="1"/>
  <c r="AM18" i="1"/>
  <c r="AO18" i="1"/>
  <c r="AE18" i="1"/>
  <c r="AP18" i="1"/>
  <c r="AF18" i="1"/>
  <c r="AQ18" i="1"/>
  <c r="AU18" i="1"/>
  <c r="BF18" i="1"/>
  <c r="BR24" i="1"/>
  <c r="AH16" i="1"/>
  <c r="AS16" i="1"/>
  <c r="BE16" i="1"/>
  <c r="AH17" i="1"/>
  <c r="AS17" i="1"/>
  <c r="BE17" i="1"/>
  <c r="AH18" i="1"/>
  <c r="AS18" i="1"/>
  <c r="BE18" i="1"/>
  <c r="BQ24" i="1"/>
  <c r="AG16" i="1"/>
  <c r="AR16" i="1"/>
  <c r="BD16" i="1"/>
  <c r="AG17" i="1"/>
  <c r="AR17" i="1"/>
  <c r="BD17" i="1"/>
  <c r="AG18" i="1"/>
  <c r="AR18" i="1"/>
  <c r="BD18" i="1"/>
  <c r="BP24" i="1"/>
  <c r="BC16" i="1"/>
  <c r="BC17" i="1"/>
  <c r="BC18" i="1"/>
  <c r="BO24" i="1"/>
  <c r="BB16" i="1"/>
  <c r="BB17" i="1"/>
  <c r="BB18" i="1"/>
  <c r="BN24" i="1"/>
  <c r="BA16" i="1"/>
  <c r="BA17" i="1"/>
  <c r="BA18" i="1"/>
  <c r="BM24" i="1"/>
  <c r="AZ16" i="1"/>
  <c r="AZ17" i="1"/>
  <c r="AZ18" i="1"/>
  <c r="BL24" i="1"/>
  <c r="AY16" i="1"/>
  <c r="AY17" i="1"/>
  <c r="AY18" i="1"/>
  <c r="BK24" i="1"/>
  <c r="AX16" i="1"/>
  <c r="AX17" i="1"/>
  <c r="AX18" i="1"/>
  <c r="BJ24" i="1"/>
  <c r="AI13" i="1"/>
  <c r="AL13" i="1"/>
  <c r="AT13" i="1"/>
  <c r="AM13" i="1"/>
  <c r="AO13" i="1"/>
  <c r="AE13" i="1"/>
  <c r="AP13" i="1"/>
  <c r="AF13" i="1"/>
  <c r="AQ13" i="1"/>
  <c r="AU13" i="1"/>
  <c r="BF13" i="1"/>
  <c r="AI14" i="1"/>
  <c r="AL14" i="1"/>
  <c r="AT14" i="1"/>
  <c r="AM14" i="1"/>
  <c r="AO14" i="1"/>
  <c r="AE14" i="1"/>
  <c r="AP14" i="1"/>
  <c r="AF14" i="1"/>
  <c r="AQ14" i="1"/>
  <c r="AU14" i="1"/>
  <c r="BF14" i="1"/>
  <c r="AI15" i="1"/>
  <c r="AL15" i="1"/>
  <c r="AT15" i="1"/>
  <c r="AM15" i="1"/>
  <c r="AO15" i="1"/>
  <c r="AE15" i="1"/>
  <c r="AP15" i="1"/>
  <c r="AF15" i="1"/>
  <c r="AQ15" i="1"/>
  <c r="AU15" i="1"/>
  <c r="BF15" i="1"/>
  <c r="BR23" i="1"/>
  <c r="AH13" i="1"/>
  <c r="AS13" i="1"/>
  <c r="BE13" i="1"/>
  <c r="AH14" i="1"/>
  <c r="AS14" i="1"/>
  <c r="BE14" i="1"/>
  <c r="AH15" i="1"/>
  <c r="AS15" i="1"/>
  <c r="BE15" i="1"/>
  <c r="BQ23" i="1"/>
  <c r="AG13" i="1"/>
  <c r="AR13" i="1"/>
  <c r="BD13" i="1"/>
  <c r="AG14" i="1"/>
  <c r="AR14" i="1"/>
  <c r="BD14" i="1"/>
  <c r="AG15" i="1"/>
  <c r="AR15" i="1"/>
  <c r="BD15" i="1"/>
  <c r="BP23" i="1"/>
  <c r="BC13" i="1"/>
  <c r="BC14" i="1"/>
  <c r="BC15" i="1"/>
  <c r="BO23" i="1"/>
  <c r="BB13" i="1"/>
  <c r="BB14" i="1"/>
  <c r="BB15" i="1"/>
  <c r="BN23" i="1"/>
  <c r="BA13" i="1"/>
  <c r="BA14" i="1"/>
  <c r="BA15" i="1"/>
  <c r="BM23" i="1"/>
  <c r="AZ13" i="1"/>
  <c r="AZ14" i="1"/>
  <c r="AZ15" i="1"/>
  <c r="BL23" i="1"/>
  <c r="AY13" i="1"/>
  <c r="AY14" i="1"/>
  <c r="AY15" i="1"/>
  <c r="BK23" i="1"/>
  <c r="AX13" i="1"/>
  <c r="AX14" i="1"/>
  <c r="AX15" i="1"/>
  <c r="BJ23" i="1"/>
  <c r="AI10" i="1"/>
  <c r="AL10" i="1"/>
  <c r="AT10" i="1"/>
  <c r="AM10" i="1"/>
  <c r="AO10" i="1"/>
  <c r="AE10" i="1"/>
  <c r="AP10" i="1"/>
  <c r="AF10" i="1"/>
  <c r="AQ10" i="1"/>
  <c r="AU10" i="1"/>
  <c r="BF10" i="1"/>
  <c r="AI11" i="1"/>
  <c r="AL11" i="1"/>
  <c r="AT11" i="1"/>
  <c r="AM11" i="1"/>
  <c r="AO11" i="1"/>
  <c r="AE11" i="1"/>
  <c r="AP11" i="1"/>
  <c r="AF11" i="1"/>
  <c r="AQ11" i="1"/>
  <c r="AU11" i="1"/>
  <c r="BF11" i="1"/>
  <c r="AI12" i="1"/>
  <c r="AL12" i="1"/>
  <c r="AT12" i="1"/>
  <c r="AM12" i="1"/>
  <c r="AO12" i="1"/>
  <c r="AE12" i="1"/>
  <c r="AP12" i="1"/>
  <c r="AF12" i="1"/>
  <c r="AQ12" i="1"/>
  <c r="AU12" i="1"/>
  <c r="BF12" i="1"/>
  <c r="BR22" i="1"/>
  <c r="AH10" i="1"/>
  <c r="AS10" i="1"/>
  <c r="BE10" i="1"/>
  <c r="AH11" i="1"/>
  <c r="AS11" i="1"/>
  <c r="BE11" i="1"/>
  <c r="AH12" i="1"/>
  <c r="AS12" i="1"/>
  <c r="BE12" i="1"/>
  <c r="BQ22" i="1"/>
  <c r="AG10" i="1"/>
  <c r="AR10" i="1"/>
  <c r="BD10" i="1"/>
  <c r="AG11" i="1"/>
  <c r="AR11" i="1"/>
  <c r="BD11" i="1"/>
  <c r="AG12" i="1"/>
  <c r="AR12" i="1"/>
  <c r="BD12" i="1"/>
  <c r="BP22" i="1"/>
  <c r="BC10" i="1"/>
  <c r="BC11" i="1"/>
  <c r="BC12" i="1"/>
  <c r="BO22" i="1"/>
  <c r="BB10" i="1"/>
  <c r="BB11" i="1"/>
  <c r="BB12" i="1"/>
  <c r="BN22" i="1"/>
  <c r="BA10" i="1"/>
  <c r="BA11" i="1"/>
  <c r="BA12" i="1"/>
  <c r="BM22" i="1"/>
  <c r="AZ10" i="1"/>
  <c r="AZ11" i="1"/>
  <c r="AZ12" i="1"/>
  <c r="BL22" i="1"/>
  <c r="AY10" i="1"/>
  <c r="AY11" i="1"/>
  <c r="AY12" i="1"/>
  <c r="BK22" i="1"/>
  <c r="AX10" i="1"/>
  <c r="AX11" i="1"/>
  <c r="AX12" i="1"/>
  <c r="BJ22" i="1"/>
  <c r="AI7" i="1"/>
  <c r="AL7" i="1"/>
  <c r="AT7" i="1"/>
  <c r="AM7" i="1"/>
  <c r="AO7" i="1"/>
  <c r="AE7" i="1"/>
  <c r="AP7" i="1"/>
  <c r="AF7" i="1"/>
  <c r="AQ7" i="1"/>
  <c r="AU7" i="1"/>
  <c r="BF7" i="1"/>
  <c r="AI8" i="1"/>
  <c r="AL8" i="1"/>
  <c r="AT8" i="1"/>
  <c r="AM8" i="1"/>
  <c r="AO8" i="1"/>
  <c r="AE8" i="1"/>
  <c r="AP8" i="1"/>
  <c r="AF8" i="1"/>
  <c r="AQ8" i="1"/>
  <c r="AU8" i="1"/>
  <c r="BF8" i="1"/>
  <c r="AI9" i="1"/>
  <c r="AL9" i="1"/>
  <c r="AT9" i="1"/>
  <c r="AM9" i="1"/>
  <c r="AO9" i="1"/>
  <c r="AE9" i="1"/>
  <c r="AP9" i="1"/>
  <c r="AF9" i="1"/>
  <c r="AQ9" i="1"/>
  <c r="AU9" i="1"/>
  <c r="BF9" i="1"/>
  <c r="BR21" i="1"/>
  <c r="AH7" i="1"/>
  <c r="AS7" i="1"/>
  <c r="BE7" i="1"/>
  <c r="AH8" i="1"/>
  <c r="AS8" i="1"/>
  <c r="BE8" i="1"/>
  <c r="AH9" i="1"/>
  <c r="AS9" i="1"/>
  <c r="BE9" i="1"/>
  <c r="BQ21" i="1"/>
  <c r="AG7" i="1"/>
  <c r="AR7" i="1"/>
  <c r="BD7" i="1"/>
  <c r="AG8" i="1"/>
  <c r="AR8" i="1"/>
  <c r="BD8" i="1"/>
  <c r="AG9" i="1"/>
  <c r="AR9" i="1"/>
  <c r="BD9" i="1"/>
  <c r="BP21" i="1"/>
  <c r="BC7" i="1"/>
  <c r="BC8" i="1"/>
  <c r="BC9" i="1"/>
  <c r="BO21" i="1"/>
  <c r="BB7" i="1"/>
  <c r="BB8" i="1"/>
  <c r="BB9" i="1"/>
  <c r="BN21" i="1"/>
  <c r="BA7" i="1"/>
  <c r="BA8" i="1"/>
  <c r="BA9" i="1"/>
  <c r="BM21" i="1"/>
  <c r="AZ7" i="1"/>
  <c r="AZ8" i="1"/>
  <c r="AZ9" i="1"/>
  <c r="BL21" i="1"/>
  <c r="AY7" i="1"/>
  <c r="AY8" i="1"/>
  <c r="AY9" i="1"/>
  <c r="BK21" i="1"/>
  <c r="AX7" i="1"/>
  <c r="AX8" i="1"/>
  <c r="AX9" i="1"/>
  <c r="BJ21" i="1"/>
  <c r="AI4" i="1"/>
  <c r="AL4" i="1"/>
  <c r="AT4" i="1"/>
  <c r="AM4" i="1"/>
  <c r="AO4" i="1"/>
  <c r="AE4" i="1"/>
  <c r="AP4" i="1"/>
  <c r="AF4" i="1"/>
  <c r="AQ4" i="1"/>
  <c r="AU4" i="1"/>
  <c r="BF4" i="1"/>
  <c r="AI5" i="1"/>
  <c r="AL5" i="1"/>
  <c r="AT5" i="1"/>
  <c r="AM5" i="1"/>
  <c r="AO5" i="1"/>
  <c r="AE5" i="1"/>
  <c r="AP5" i="1"/>
  <c r="AF5" i="1"/>
  <c r="AQ5" i="1"/>
  <c r="AU5" i="1"/>
  <c r="BF5" i="1"/>
  <c r="AI6" i="1"/>
  <c r="AL6" i="1"/>
  <c r="AT6" i="1"/>
  <c r="AM6" i="1"/>
  <c r="AO6" i="1"/>
  <c r="AE6" i="1"/>
  <c r="AP6" i="1"/>
  <c r="AF6" i="1"/>
  <c r="AQ6" i="1"/>
  <c r="AU6" i="1"/>
  <c r="BF6" i="1"/>
  <c r="BR20" i="1"/>
  <c r="AH4" i="1"/>
  <c r="AS4" i="1"/>
  <c r="BE4" i="1"/>
  <c r="AH5" i="1"/>
  <c r="AS5" i="1"/>
  <c r="BE5" i="1"/>
  <c r="AH6" i="1"/>
  <c r="AS6" i="1"/>
  <c r="BE6" i="1"/>
  <c r="BQ20" i="1"/>
  <c r="AG4" i="1"/>
  <c r="AR4" i="1"/>
  <c r="BD4" i="1"/>
  <c r="AG5" i="1"/>
  <c r="AR5" i="1"/>
  <c r="BD5" i="1"/>
  <c r="AG6" i="1"/>
  <c r="AR6" i="1"/>
  <c r="BD6" i="1"/>
  <c r="BP20" i="1"/>
  <c r="BC4" i="1"/>
  <c r="BC5" i="1"/>
  <c r="BC6" i="1"/>
  <c r="BO20" i="1"/>
  <c r="BB4" i="1"/>
  <c r="BB5" i="1"/>
  <c r="BB6" i="1"/>
  <c r="BN20" i="1"/>
  <c r="BA4" i="1"/>
  <c r="BA5" i="1"/>
  <c r="BA6" i="1"/>
  <c r="BM20" i="1"/>
  <c r="AZ4" i="1"/>
  <c r="AZ5" i="1"/>
  <c r="AZ6" i="1"/>
  <c r="BL20" i="1"/>
  <c r="AY4" i="1"/>
  <c r="AY5" i="1"/>
  <c r="AY6" i="1"/>
  <c r="BK20" i="1"/>
  <c r="AX4" i="1"/>
  <c r="AX5" i="1"/>
  <c r="AX6" i="1"/>
  <c r="BJ20" i="1"/>
  <c r="AI3" i="1"/>
  <c r="AL3" i="1"/>
  <c r="AT3" i="1"/>
  <c r="AM3" i="1"/>
  <c r="AO3" i="1"/>
  <c r="AE3" i="1"/>
  <c r="AP3" i="1"/>
  <c r="AF3" i="1"/>
  <c r="AQ3" i="1"/>
  <c r="AU3" i="1"/>
  <c r="BF3" i="1"/>
  <c r="BR19" i="1"/>
  <c r="AH3" i="1"/>
  <c r="AS3" i="1"/>
  <c r="BE3" i="1"/>
  <c r="BQ19" i="1"/>
  <c r="AG3" i="1"/>
  <c r="AR3" i="1"/>
  <c r="BD3" i="1"/>
  <c r="BP19" i="1"/>
  <c r="BC3" i="1"/>
  <c r="BO19" i="1"/>
  <c r="BB3" i="1"/>
  <c r="BN19" i="1"/>
  <c r="BA3" i="1"/>
  <c r="BM19" i="1"/>
  <c r="AZ3" i="1"/>
  <c r="BL19" i="1"/>
  <c r="AY3" i="1"/>
  <c r="BK19" i="1"/>
  <c r="AX3" i="1"/>
  <c r="BJ19" i="1"/>
  <c r="BR15" i="1"/>
  <c r="BQ15" i="1"/>
  <c r="BP15" i="1"/>
  <c r="BO15" i="1"/>
  <c r="BN15" i="1"/>
  <c r="BM15" i="1"/>
  <c r="BL15" i="1"/>
  <c r="BK15" i="1"/>
  <c r="BJ15" i="1"/>
  <c r="BR14" i="1"/>
  <c r="BQ14" i="1"/>
  <c r="BP14" i="1"/>
  <c r="BO14" i="1"/>
  <c r="BN14" i="1"/>
  <c r="BM14" i="1"/>
  <c r="BL14" i="1"/>
  <c r="BK14" i="1"/>
  <c r="BJ14" i="1"/>
  <c r="BR13" i="1"/>
  <c r="BQ13" i="1"/>
  <c r="BP13" i="1"/>
  <c r="BO13" i="1"/>
  <c r="BN13" i="1"/>
  <c r="BM13" i="1"/>
  <c r="BL13" i="1"/>
  <c r="BK13" i="1"/>
  <c r="BJ13" i="1"/>
  <c r="BR12" i="1"/>
  <c r="BQ12" i="1"/>
  <c r="BP12" i="1"/>
  <c r="BO12" i="1"/>
  <c r="BN12" i="1"/>
  <c r="BM12" i="1"/>
  <c r="BL12" i="1"/>
  <c r="BK12" i="1"/>
  <c r="BJ12" i="1"/>
  <c r="BR11" i="1"/>
  <c r="BQ11" i="1"/>
  <c r="BP11" i="1"/>
  <c r="BO11" i="1"/>
  <c r="BN11" i="1"/>
  <c r="BM11" i="1"/>
  <c r="BL11" i="1"/>
  <c r="BK11" i="1"/>
  <c r="BJ11" i="1"/>
  <c r="BR10" i="1"/>
  <c r="BQ10" i="1"/>
  <c r="BP10" i="1"/>
  <c r="BO10" i="1"/>
  <c r="BN10" i="1"/>
  <c r="BM10" i="1"/>
  <c r="BL10" i="1"/>
  <c r="BK10" i="1"/>
  <c r="BJ10" i="1"/>
  <c r="BR9" i="1"/>
  <c r="BQ9" i="1"/>
  <c r="BP9" i="1"/>
  <c r="BO9" i="1"/>
  <c r="BN9" i="1"/>
  <c r="BM9" i="1"/>
  <c r="BL9" i="1"/>
  <c r="BK9" i="1"/>
  <c r="BJ9" i="1"/>
  <c r="BR8" i="1"/>
  <c r="BQ8" i="1"/>
  <c r="BP8" i="1"/>
  <c r="BO8" i="1"/>
  <c r="BN8" i="1"/>
  <c r="BM8" i="1"/>
  <c r="BL8" i="1"/>
  <c r="BK8" i="1"/>
  <c r="BJ8" i="1"/>
  <c r="BR7" i="1"/>
  <c r="BQ7" i="1"/>
  <c r="BP7" i="1"/>
  <c r="BO7" i="1"/>
  <c r="BN7" i="1"/>
  <c r="BM7" i="1"/>
  <c r="BL7" i="1"/>
  <c r="BK7" i="1"/>
  <c r="BJ7" i="1"/>
  <c r="BR6" i="1"/>
  <c r="BQ6" i="1"/>
  <c r="BP6" i="1"/>
  <c r="BO6" i="1"/>
  <c r="BN6" i="1"/>
  <c r="BM6" i="1"/>
  <c r="BL6" i="1"/>
  <c r="BK6" i="1"/>
  <c r="BJ6" i="1"/>
  <c r="BR5" i="1"/>
  <c r="BQ5" i="1"/>
  <c r="BP5" i="1"/>
  <c r="BO5" i="1"/>
  <c r="BN5" i="1"/>
  <c r="BM5" i="1"/>
  <c r="BL5" i="1"/>
  <c r="BK5" i="1"/>
  <c r="BJ5" i="1"/>
  <c r="BR4" i="1"/>
  <c r="BQ4" i="1"/>
  <c r="BP4" i="1"/>
  <c r="BO4" i="1"/>
  <c r="BN4" i="1"/>
  <c r="BM4" i="1"/>
  <c r="BL4" i="1"/>
  <c r="BK4" i="1"/>
  <c r="BJ4" i="1"/>
</calcChain>
</file>

<file path=xl/sharedStrings.xml><?xml version="1.0" encoding="utf-8"?>
<sst xmlns="http://schemas.openxmlformats.org/spreadsheetml/2006/main" count="538" uniqueCount="117">
  <si>
    <t>dG-UV</t>
  </si>
  <si>
    <t>dC-UV</t>
  </si>
  <si>
    <t>mC</t>
  </si>
  <si>
    <t>mC*</t>
  </si>
  <si>
    <t>A/A*</t>
  </si>
  <si>
    <t>hmC</t>
  </si>
  <si>
    <t>hmC*</t>
  </si>
  <si>
    <t>fC</t>
  </si>
  <si>
    <t>fC*</t>
  </si>
  <si>
    <t>caC</t>
  </si>
  <si>
    <t>caC*</t>
  </si>
  <si>
    <t>8oxoG</t>
  </si>
  <si>
    <t>8oxoG*</t>
  </si>
  <si>
    <t>NAME</t>
  </si>
  <si>
    <t>Inj. Vol.</t>
  </si>
  <si>
    <t>dG</t>
  </si>
  <si>
    <t>dC</t>
  </si>
  <si>
    <t>Sum</t>
  </si>
  <si>
    <t>correction</t>
  </si>
  <si>
    <t>8oxodG</t>
  </si>
  <si>
    <t>Mean</t>
  </si>
  <si>
    <t/>
  </si>
  <si>
    <t>Data File</t>
  </si>
  <si>
    <t>Resp.</t>
  </si>
  <si>
    <t>µL</t>
  </si>
  <si>
    <t>pmol</t>
  </si>
  <si>
    <t>%</t>
  </si>
  <si>
    <t>pro dN</t>
  </si>
  <si>
    <t>VB</t>
  </si>
  <si>
    <t>MCF10A</t>
  </si>
  <si>
    <t>MCF7</t>
  </si>
  <si>
    <t>deltaH7-Km3</t>
  </si>
  <si>
    <t>deltaH7-KmF6</t>
  </si>
  <si>
    <t>MCF7-TKO-F3</t>
  </si>
  <si>
    <t>MCF7-TKO-D10</t>
  </si>
  <si>
    <t>Standard deviation</t>
  </si>
  <si>
    <t xml:space="preserve">Average </t>
  </si>
  <si>
    <t xml:space="preserve">LLOQ Calibration </t>
  </si>
  <si>
    <t>Maximum</t>
  </si>
  <si>
    <t xml:space="preserve">ULOQ Calibration </t>
  </si>
  <si>
    <t>Minimum</t>
  </si>
  <si>
    <t>Y</t>
  </si>
  <si>
    <t>O</t>
  </si>
  <si>
    <t>L</t>
  </si>
  <si>
    <t>Average blank</t>
  </si>
  <si>
    <t xml:space="preserve"> n/pmol</t>
  </si>
  <si>
    <t>LOD Measurement</t>
  </si>
  <si>
    <t>8oxodG*</t>
  </si>
  <si>
    <t>LLOQ Callibration</t>
  </si>
  <si>
    <t xml:space="preserve">ULOQ Callibration </t>
  </si>
  <si>
    <t>External Label</t>
  </si>
  <si>
    <t>Sample</t>
  </si>
  <si>
    <t>c(ng/µL)</t>
  </si>
  <si>
    <t>m(DNA) [ng]</t>
  </si>
  <si>
    <r>
      <rPr>
        <sz val="11"/>
        <color theme="1"/>
        <rFont val="Calibri"/>
      </rPr>
      <t>V(H</t>
    </r>
    <r>
      <rPr>
        <vertAlign val="subscript"/>
        <sz val="11"/>
        <color theme="1"/>
        <rFont val="Calibri"/>
      </rPr>
      <t>2</t>
    </r>
    <r>
      <rPr>
        <sz val="11"/>
        <color theme="1"/>
        <rFont val="Calibri"/>
      </rPr>
      <t>O)</t>
    </r>
  </si>
  <si>
    <t>DNA</t>
  </si>
  <si>
    <t>V (Reaction buffer 10X)</t>
  </si>
  <si>
    <t>V (YOLO42 v.15.09.17)</t>
  </si>
  <si>
    <t>Water</t>
  </si>
  <si>
    <t>V (Enzyme mix)</t>
  </si>
  <si>
    <t>SUM</t>
  </si>
  <si>
    <t>1,5h 37°C</t>
  </si>
  <si>
    <t>Inj.vol. [µL]</t>
  </si>
  <si>
    <t>Digest Blank 1</t>
  </si>
  <si>
    <t>VB1</t>
  </si>
  <si>
    <t>Buffer</t>
  </si>
  <si>
    <t>Spiking Mix</t>
  </si>
  <si>
    <t>1X</t>
  </si>
  <si>
    <t>XX.XX.2018</t>
  </si>
  <si>
    <t>conc</t>
  </si>
  <si>
    <t>V(dT-d3)</t>
  </si>
  <si>
    <t>V(dC-15n2)</t>
  </si>
  <si>
    <t>V(mC-d3)</t>
  </si>
  <si>
    <t>V(hmC-d2-15n2)</t>
  </si>
  <si>
    <t>V(fC-15n2)</t>
  </si>
  <si>
    <t>V(caC-15n2)</t>
  </si>
  <si>
    <t>V(8-oxo-dG-15n5)</t>
  </si>
  <si>
    <t>H2o</t>
  </si>
  <si>
    <t>V(dU-15n2)</t>
  </si>
  <si>
    <t>V(hmu-d2)</t>
  </si>
  <si>
    <t>V(fU-15n2)</t>
  </si>
  <si>
    <t>V(caU-15n2)</t>
  </si>
  <si>
    <t>Sum Volume</t>
  </si>
  <si>
    <t>H2O</t>
  </si>
  <si>
    <t>ZnSO4 (4 mM)</t>
  </si>
  <si>
    <r>
      <rPr>
        <sz val="14"/>
        <color theme="1"/>
        <rFont val="Calibri"/>
      </rPr>
      <t xml:space="preserve">V(Nucl. S1) </t>
    </r>
    <r>
      <rPr>
        <sz val="14"/>
        <color rgb="FFFF0000"/>
        <rFont val="Calibri Light"/>
      </rPr>
      <t>[4.6 µL Stock in 20.4 µL H2O]</t>
    </r>
  </si>
  <si>
    <t>V(Antarctica)</t>
  </si>
  <si>
    <t>EDTA-Na2 (1mM)</t>
  </si>
  <si>
    <t>V (Snake V.) (lyoph Pellet + 750 µL Stock)</t>
  </si>
  <si>
    <t>Digest total Volume</t>
  </si>
  <si>
    <t>Inj. LC-MS</t>
  </si>
  <si>
    <t>DNA Rest</t>
  </si>
  <si>
    <t xml:space="preserve">DNA 
Minimal Concentration </t>
  </si>
  <si>
    <t>DNA-Amount</t>
  </si>
  <si>
    <t>10 µg</t>
  </si>
  <si>
    <t>6 µg</t>
  </si>
  <si>
    <t>3 µg</t>
  </si>
  <si>
    <t>Vol</t>
  </si>
  <si>
    <t>Conc</t>
  </si>
  <si>
    <t>x1000</t>
  </si>
  <si>
    <t>Mix</t>
  </si>
  <si>
    <t>x100</t>
  </si>
  <si>
    <t>S1</t>
  </si>
  <si>
    <t>Digest</t>
  </si>
  <si>
    <t>x10</t>
  </si>
  <si>
    <t>x1</t>
  </si>
  <si>
    <t>Master First Round</t>
  </si>
  <si>
    <t>Sum Vol</t>
  </si>
  <si>
    <t>Master Second Round</t>
  </si>
  <si>
    <t xml:space="preserve">MCF7 </t>
  </si>
  <si>
    <t xml:space="preserve">MCF7 TET1 KO cH3
</t>
  </si>
  <si>
    <t xml:space="preserve">MCF7 TET1 KO cH7
</t>
  </si>
  <si>
    <t>MCF7 TET1 KO/K852R c1</t>
  </si>
  <si>
    <t>MCF7 TET1 KO/K852R c4</t>
  </si>
  <si>
    <t>MCF7 TET1/TET1s KO a11</t>
  </si>
  <si>
    <t>MCF7 TET1/TET1s KO b5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</si>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</sst>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E+00"/>
  </numFmts>
  <fonts count="26" x14ac:knownFonts="1">
    <font>
      <sz val="11"/>
      <color rgb="FF000000"/>
      <name val="Arial"/>
      <scheme val="minor"/>
    </font>
    <font>
      <sz val="11"/>
      <color theme="1"/>
      <name val="Courier New"/>
    </font>
    <font>
      <sz val="10"/>
      <color theme="1"/>
      <name val="Courier New"/>
    </font>
    <font>
      <sz val="10"/>
      <color theme="1"/>
      <name val="Helvetica Neue"/>
    </font>
    <font>
      <sz val="11"/>
      <color rgb="FF000000"/>
      <name val="Courier New"/>
    </font>
    <font>
      <b/>
      <sz val="26"/>
      <color theme="1"/>
      <name val="Courier New"/>
    </font>
    <font>
      <sz val="11"/>
      <color theme="1"/>
      <name val="Calibri"/>
    </font>
    <font>
      <b/>
      <sz val="8"/>
      <color theme="1"/>
      <name val="Calibri"/>
    </font>
    <font>
      <b/>
      <sz val="11"/>
      <color theme="1"/>
      <name val="Calibri"/>
    </font>
    <font>
      <sz val="11"/>
      <color theme="1"/>
      <name val="Arial"/>
      <scheme val="minor"/>
    </font>
    <font>
      <b/>
      <sz val="24"/>
      <color rgb="FFFF0000"/>
      <name val="Calibri"/>
    </font>
    <font>
      <sz val="11"/>
      <name val="Arial"/>
    </font>
    <font>
      <sz val="16"/>
      <color rgb="FFFF0000"/>
      <name val="Calibri"/>
    </font>
    <font>
      <sz val="14"/>
      <color theme="1"/>
      <name val="Calibri"/>
    </font>
    <font>
      <b/>
      <sz val="14"/>
      <color theme="1"/>
      <name val="Calibri"/>
    </font>
    <font>
      <b/>
      <sz val="18"/>
      <color rgb="FFFF0000"/>
      <name val="Calibri"/>
    </font>
    <font>
      <b/>
      <sz val="14"/>
      <color rgb="FFFF0000"/>
      <name val="Calibri"/>
    </font>
    <font>
      <sz val="14"/>
      <color rgb="FFFF0000"/>
      <name val="Calibri"/>
    </font>
    <font>
      <strike/>
      <sz val="14"/>
      <color theme="1"/>
      <name val="Calibri"/>
    </font>
    <font>
      <b/>
      <sz val="12"/>
      <color theme="1"/>
      <name val="Calibri"/>
    </font>
    <font>
      <vertAlign val="subscript"/>
      <sz val="11"/>
      <color theme="1"/>
      <name val="Calibri"/>
    </font>
    <font>
      <sz val="14"/>
      <color rgb="FFFF0000"/>
      <name val="Calibri Light"/>
    </font>
    <font>
      <sz val="8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Helvetica Neue"/>
    </font>
  </fonts>
  <fills count="19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F0000"/>
        <bgColor rgb="FFFF0000"/>
      </patternFill>
    </fill>
    <fill>
      <patternFill patternType="solid">
        <fgColor rgb="FFD6DCE4"/>
        <bgColor rgb="FFD6DCE4"/>
      </patternFill>
    </fill>
    <fill>
      <patternFill patternType="solid">
        <fgColor rgb="FFA5A5A5"/>
        <bgColor rgb="FFA5A5A5"/>
      </patternFill>
    </fill>
    <fill>
      <patternFill patternType="solid">
        <fgColor rgb="FFC5E0B3"/>
        <bgColor rgb="FFC5E0B3"/>
      </patternFill>
    </fill>
    <fill>
      <patternFill patternType="solid">
        <fgColor rgb="FF44546A"/>
        <bgColor rgb="FF44546A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DB9CA"/>
        <bgColor rgb="FFADB9CA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4472C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4472C4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4472C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472C4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medium">
        <color rgb="FF4472C4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4472C4"/>
      </left>
      <right style="thin">
        <color rgb="FFBFBFBF"/>
      </right>
      <top/>
      <bottom style="thin">
        <color rgb="FFBFBFBF"/>
      </bottom>
      <diagonal/>
    </border>
    <border>
      <left style="medium">
        <color rgb="FF4472C4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left" vertical="center"/>
    </xf>
    <xf numFmtId="1" fontId="4" fillId="3" borderId="7" xfId="0" applyNumberFormat="1" applyFont="1" applyFill="1" applyBorder="1" applyAlignment="1">
      <alignment horizontal="right" vertical="top"/>
    </xf>
    <xf numFmtId="1" fontId="4" fillId="3" borderId="2" xfId="0" applyNumberFormat="1" applyFont="1" applyFill="1" applyBorder="1" applyAlignment="1">
      <alignment horizontal="left" vertical="center"/>
    </xf>
    <xf numFmtId="1" fontId="1" fillId="3" borderId="7" xfId="0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left" vertical="center"/>
    </xf>
    <xf numFmtId="166" fontId="1" fillId="3" borderId="7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left" vertical="center"/>
    </xf>
    <xf numFmtId="2" fontId="1" fillId="3" borderId="7" xfId="0" applyNumberFormat="1" applyFont="1" applyFill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left" vertical="center"/>
    </xf>
    <xf numFmtId="166" fontId="1" fillId="3" borderId="1" xfId="0" applyNumberFormat="1" applyFont="1" applyFill="1" applyBorder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167" fontId="1" fillId="3" borderId="1" xfId="0" applyNumberFormat="1" applyFont="1" applyFill="1" applyBorder="1" applyAlignment="1">
      <alignment horizontal="left" vertical="center"/>
    </xf>
    <xf numFmtId="167" fontId="1" fillId="3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/>
    </xf>
    <xf numFmtId="1" fontId="1" fillId="3" borderId="2" xfId="0" applyNumberFormat="1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right" vertical="top"/>
    </xf>
    <xf numFmtId="1" fontId="4" fillId="0" borderId="9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66" fontId="1" fillId="0" borderId="1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left" vertical="center"/>
    </xf>
    <xf numFmtId="167" fontId="1" fillId="0" borderId="10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1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" fontId="4" fillId="0" borderId="12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7" fontId="1" fillId="0" borderId="0" xfId="0" applyNumberFormat="1" applyFont="1" applyAlignment="1">
      <alignment horizontal="left" vertical="center"/>
    </xf>
    <xf numFmtId="0" fontId="2" fillId="0" borderId="0" xfId="0" applyFont="1"/>
    <xf numFmtId="165" fontId="1" fillId="0" borderId="0" xfId="0" applyNumberFormat="1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4" fontId="7" fillId="0" borderId="14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166" fontId="6" fillId="5" borderId="20" xfId="0" applyNumberFormat="1" applyFont="1" applyFill="1" applyBorder="1" applyAlignment="1">
      <alignment horizontal="center" vertical="center" textRotation="90"/>
    </xf>
    <xf numFmtId="0" fontId="6" fillId="6" borderId="21" xfId="0" applyFont="1" applyFill="1" applyBorder="1" applyAlignment="1">
      <alignment horizontal="center" vertical="center" textRotation="90"/>
    </xf>
    <xf numFmtId="166" fontId="6" fillId="0" borderId="22" xfId="0" applyNumberFormat="1" applyFont="1" applyBorder="1" applyAlignment="1">
      <alignment horizontal="center" vertical="center" textRotation="90"/>
    </xf>
    <xf numFmtId="166" fontId="6" fillId="0" borderId="19" xfId="0" applyNumberFormat="1" applyFont="1" applyBorder="1" applyAlignment="1">
      <alignment horizontal="center" vertical="center" textRotation="90"/>
    </xf>
    <xf numFmtId="166" fontId="6" fillId="0" borderId="23" xfId="0" applyNumberFormat="1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5" borderId="26" xfId="0" applyNumberFormat="1" applyFont="1" applyFill="1" applyBorder="1" applyAlignment="1">
      <alignment horizontal="center" vertical="center"/>
    </xf>
    <xf numFmtId="166" fontId="6" fillId="6" borderId="27" xfId="0" applyNumberFormat="1" applyFont="1" applyFill="1" applyBorder="1" applyAlignment="1">
      <alignment horizontal="center" vertical="center"/>
    </xf>
    <xf numFmtId="166" fontId="6" fillId="0" borderId="28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2" fontId="6" fillId="6" borderId="27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/>
    <xf numFmtId="166" fontId="6" fillId="7" borderId="7" xfId="0" applyNumberFormat="1" applyFont="1" applyFill="1" applyBorder="1"/>
    <xf numFmtId="0" fontId="6" fillId="7" borderId="7" xfId="0" applyFont="1" applyFill="1" applyBorder="1"/>
    <xf numFmtId="0" fontId="6" fillId="8" borderId="7" xfId="0" applyFont="1" applyFill="1" applyBorder="1"/>
    <xf numFmtId="0" fontId="6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textRotation="90"/>
    </xf>
    <xf numFmtId="166" fontId="6" fillId="0" borderId="0" xfId="0" applyNumberFormat="1" applyFont="1" applyAlignment="1">
      <alignment horizontal="center" vertical="center" textRotation="90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0" fontId="12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66" fontId="13" fillId="9" borderId="26" xfId="0" applyNumberFormat="1" applyFont="1" applyFill="1" applyBorder="1" applyAlignment="1">
      <alignment horizontal="left" vertical="center"/>
    </xf>
    <xf numFmtId="165" fontId="13" fillId="9" borderId="26" xfId="0" applyNumberFormat="1" applyFont="1" applyFill="1" applyBorder="1" applyAlignment="1">
      <alignment horizontal="left" vertical="center"/>
    </xf>
    <xf numFmtId="164" fontId="13" fillId="10" borderId="26" xfId="0" applyNumberFormat="1" applyFont="1" applyFill="1" applyBorder="1" applyAlignment="1">
      <alignment horizontal="left" vertical="center"/>
    </xf>
    <xf numFmtId="164" fontId="13" fillId="0" borderId="26" xfId="0" applyNumberFormat="1" applyFont="1" applyBorder="1" applyAlignment="1">
      <alignment horizontal="left" vertical="center"/>
    </xf>
    <xf numFmtId="164" fontId="13" fillId="11" borderId="26" xfId="0" applyNumberFormat="1" applyFont="1" applyFill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6" fontId="13" fillId="9" borderId="7" xfId="0" applyNumberFormat="1" applyFont="1" applyFill="1" applyBorder="1" applyAlignment="1">
      <alignment horizontal="left" vertical="center"/>
    </xf>
    <xf numFmtId="164" fontId="13" fillId="9" borderId="26" xfId="0" applyNumberFormat="1" applyFont="1" applyFill="1" applyBorder="1" applyAlignment="1">
      <alignment horizontal="left" vertical="center"/>
    </xf>
    <xf numFmtId="2" fontId="13" fillId="0" borderId="26" xfId="0" applyNumberFormat="1" applyFont="1" applyBorder="1" applyAlignment="1">
      <alignment horizontal="left" vertical="center"/>
    </xf>
    <xf numFmtId="166" fontId="13" fillId="11" borderId="26" xfId="0" applyNumberFormat="1" applyFont="1" applyFill="1" applyBorder="1" applyAlignment="1">
      <alignment horizontal="left" vertical="center"/>
    </xf>
    <xf numFmtId="0" fontId="13" fillId="9" borderId="26" xfId="0" applyFont="1" applyFill="1" applyBorder="1" applyAlignment="1">
      <alignment horizontal="left" vertical="center" textRotation="90" wrapText="1"/>
    </xf>
    <xf numFmtId="0" fontId="13" fillId="10" borderId="26" xfId="0" applyFont="1" applyFill="1" applyBorder="1" applyAlignment="1">
      <alignment horizontal="left" vertical="center" textRotation="90" wrapText="1"/>
    </xf>
    <xf numFmtId="0" fontId="13" fillId="0" borderId="26" xfId="0" applyFont="1" applyBorder="1" applyAlignment="1">
      <alignment horizontal="left" vertical="center" textRotation="90" wrapText="1"/>
    </xf>
    <xf numFmtId="0" fontId="13" fillId="11" borderId="26" xfId="0" applyFont="1" applyFill="1" applyBorder="1" applyAlignment="1">
      <alignment horizontal="left" vertical="center" textRotation="90" wrapText="1"/>
    </xf>
    <xf numFmtId="0" fontId="14" fillId="0" borderId="26" xfId="0" applyFont="1" applyBorder="1" applyAlignment="1">
      <alignment horizontal="left" vertical="center" textRotation="90"/>
    </xf>
    <xf numFmtId="2" fontId="15" fillId="12" borderId="26" xfId="0" applyNumberFormat="1" applyFont="1" applyFill="1" applyBorder="1" applyAlignment="1">
      <alignment horizontal="left" vertical="center" textRotation="90"/>
    </xf>
    <xf numFmtId="166" fontId="16" fillId="12" borderId="26" xfId="0" applyNumberFormat="1" applyFont="1" applyFill="1" applyBorder="1" applyAlignment="1">
      <alignment horizontal="left" vertical="center" textRotation="90"/>
    </xf>
    <xf numFmtId="166" fontId="13" fillId="12" borderId="26" xfId="0" applyNumberFormat="1" applyFont="1" applyFill="1" applyBorder="1" applyAlignment="1">
      <alignment horizontal="left" vertical="center" textRotation="90"/>
    </xf>
    <xf numFmtId="2" fontId="13" fillId="12" borderId="26" xfId="0" applyNumberFormat="1" applyFont="1" applyFill="1" applyBorder="1" applyAlignment="1">
      <alignment horizontal="left" vertical="center" textRotation="90"/>
    </xf>
    <xf numFmtId="2" fontId="17" fillId="13" borderId="26" xfId="0" applyNumberFormat="1" applyFont="1" applyFill="1" applyBorder="1" applyAlignment="1">
      <alignment horizontal="left" vertical="center" textRotation="90"/>
    </xf>
    <xf numFmtId="0" fontId="14" fillId="0" borderId="26" xfId="0" applyFont="1" applyBorder="1" applyAlignment="1">
      <alignment horizontal="left" vertical="center" textRotation="90" wrapText="1"/>
    </xf>
    <xf numFmtId="0" fontId="13" fillId="0" borderId="26" xfId="0" applyFont="1" applyBorder="1" applyAlignment="1">
      <alignment horizontal="left" vertical="center" textRotation="90"/>
    </xf>
    <xf numFmtId="2" fontId="13" fillId="9" borderId="26" xfId="0" applyNumberFormat="1" applyFont="1" applyFill="1" applyBorder="1" applyAlignment="1">
      <alignment horizontal="left" vertical="center"/>
    </xf>
    <xf numFmtId="2" fontId="13" fillId="10" borderId="26" xfId="0" applyNumberFormat="1" applyFont="1" applyFill="1" applyBorder="1" applyAlignment="1">
      <alignment horizontal="left" vertical="center"/>
    </xf>
    <xf numFmtId="2" fontId="13" fillId="11" borderId="26" xfId="0" applyNumberFormat="1" applyFont="1" applyFill="1" applyBorder="1" applyAlignment="1">
      <alignment horizontal="left" vertical="center"/>
    </xf>
    <xf numFmtId="2" fontId="14" fillId="14" borderId="26" xfId="0" applyNumberFormat="1" applyFont="1" applyFill="1" applyBorder="1" applyAlignment="1">
      <alignment horizontal="left" vertical="center"/>
    </xf>
    <xf numFmtId="2" fontId="13" fillId="12" borderId="26" xfId="0" applyNumberFormat="1" applyFont="1" applyFill="1" applyBorder="1" applyAlignment="1">
      <alignment horizontal="left" vertical="center"/>
    </xf>
    <xf numFmtId="166" fontId="13" fillId="12" borderId="26" xfId="0" applyNumberFormat="1" applyFont="1" applyFill="1" applyBorder="1" applyAlignment="1">
      <alignment horizontal="left" vertical="center"/>
    </xf>
    <xf numFmtId="166" fontId="13" fillId="15" borderId="26" xfId="0" applyNumberFormat="1" applyFont="1" applyFill="1" applyBorder="1" applyAlignment="1">
      <alignment horizontal="left" vertical="center"/>
    </xf>
    <xf numFmtId="166" fontId="13" fillId="13" borderId="26" xfId="0" applyNumberFormat="1" applyFont="1" applyFill="1" applyBorder="1" applyAlignment="1">
      <alignment horizontal="left" vertical="center"/>
    </xf>
    <xf numFmtId="1" fontId="13" fillId="0" borderId="26" xfId="0" applyNumberFormat="1" applyFont="1" applyBorder="1" applyAlignment="1">
      <alignment horizontal="left" vertical="center"/>
    </xf>
    <xf numFmtId="1" fontId="14" fillId="0" borderId="26" xfId="0" applyNumberFormat="1" applyFont="1" applyBorder="1" applyAlignment="1">
      <alignment horizontal="left" vertical="center"/>
    </xf>
    <xf numFmtId="166" fontId="13" fillId="0" borderId="26" xfId="0" applyNumberFormat="1" applyFont="1" applyBorder="1" applyAlignment="1">
      <alignment horizontal="left" vertical="center"/>
    </xf>
    <xf numFmtId="1" fontId="13" fillId="16" borderId="26" xfId="0" applyNumberFormat="1" applyFont="1" applyFill="1" applyBorder="1" applyAlignment="1">
      <alignment horizontal="left" vertical="center"/>
    </xf>
    <xf numFmtId="0" fontId="6" fillId="16" borderId="26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14" borderId="26" xfId="0" applyFont="1" applyFill="1" applyBorder="1" applyAlignment="1">
      <alignment horizontal="left" vertical="center"/>
    </xf>
    <xf numFmtId="0" fontId="13" fillId="12" borderId="26" xfId="0" applyFont="1" applyFill="1" applyBorder="1" applyAlignment="1">
      <alignment horizontal="left" vertical="center"/>
    </xf>
    <xf numFmtId="0" fontId="13" fillId="12" borderId="34" xfId="0" applyFont="1" applyFill="1" applyBorder="1" applyAlignment="1">
      <alignment horizontal="left" vertical="center"/>
    </xf>
    <xf numFmtId="0" fontId="13" fillId="12" borderId="35" xfId="0" applyFont="1" applyFill="1" applyBorder="1" applyAlignment="1">
      <alignment horizontal="left" vertical="center"/>
    </xf>
    <xf numFmtId="0" fontId="13" fillId="13" borderId="35" xfId="0" applyFont="1" applyFill="1" applyBorder="1" applyAlignment="1">
      <alignment horizontal="left" vertical="center"/>
    </xf>
    <xf numFmtId="166" fontId="18" fillId="12" borderId="27" xfId="0" applyNumberFormat="1" applyFont="1" applyFill="1" applyBorder="1" applyAlignment="1">
      <alignment horizontal="left" vertical="center"/>
    </xf>
    <xf numFmtId="166" fontId="18" fillId="12" borderId="26" xfId="0" applyNumberFormat="1" applyFont="1" applyFill="1" applyBorder="1" applyAlignment="1">
      <alignment horizontal="left" vertical="center"/>
    </xf>
    <xf numFmtId="166" fontId="13" fillId="12" borderId="27" xfId="0" applyNumberFormat="1" applyFont="1" applyFill="1" applyBorder="1" applyAlignment="1">
      <alignment horizontal="left" vertical="center"/>
    </xf>
    <xf numFmtId="166" fontId="19" fillId="17" borderId="17" xfId="0" applyNumberFormat="1" applyFont="1" applyFill="1" applyBorder="1" applyAlignment="1">
      <alignment horizontal="center" vertical="center"/>
    </xf>
    <xf numFmtId="166" fontId="19" fillId="17" borderId="13" xfId="0" applyNumberFormat="1" applyFont="1" applyFill="1" applyBorder="1" applyAlignment="1">
      <alignment horizontal="center" vertical="center"/>
    </xf>
    <xf numFmtId="166" fontId="19" fillId="17" borderId="14" xfId="0" applyNumberFormat="1" applyFont="1" applyFill="1" applyBorder="1" applyAlignment="1">
      <alignment horizontal="center" vertical="center"/>
    </xf>
    <xf numFmtId="166" fontId="19" fillId="17" borderId="36" xfId="0" applyNumberFormat="1" applyFont="1" applyFill="1" applyBorder="1" applyAlignment="1">
      <alignment horizontal="center" vertical="center"/>
    </xf>
    <xf numFmtId="166" fontId="19" fillId="17" borderId="37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3" fillId="12" borderId="38" xfId="0" applyFont="1" applyFill="1" applyBorder="1" applyAlignment="1">
      <alignment horizontal="left" vertical="center"/>
    </xf>
    <xf numFmtId="0" fontId="13" fillId="12" borderId="39" xfId="0" applyFont="1" applyFill="1" applyBorder="1" applyAlignment="1">
      <alignment horizontal="left" vertical="center"/>
    </xf>
    <xf numFmtId="0" fontId="13" fillId="12" borderId="40" xfId="0" applyFont="1" applyFill="1" applyBorder="1" applyAlignment="1">
      <alignment horizontal="left" vertical="center"/>
    </xf>
    <xf numFmtId="0" fontId="13" fillId="12" borderId="41" xfId="0" applyFont="1" applyFill="1" applyBorder="1" applyAlignment="1">
      <alignment horizontal="left" vertical="center"/>
    </xf>
    <xf numFmtId="0" fontId="13" fillId="13" borderId="38" xfId="0" applyFont="1" applyFill="1" applyBorder="1" applyAlignment="1">
      <alignment horizontal="left" vertical="center"/>
    </xf>
    <xf numFmtId="0" fontId="13" fillId="12" borderId="27" xfId="0" applyFont="1" applyFill="1" applyBorder="1" applyAlignment="1">
      <alignment horizontal="left" vertical="center"/>
    </xf>
    <xf numFmtId="0" fontId="13" fillId="12" borderId="42" xfId="0" applyFont="1" applyFill="1" applyBorder="1" applyAlignment="1">
      <alignment horizontal="left" vertical="center"/>
    </xf>
    <xf numFmtId="0" fontId="13" fillId="12" borderId="43" xfId="0" applyFont="1" applyFill="1" applyBorder="1" applyAlignment="1">
      <alignment horizontal="left" vertical="center"/>
    </xf>
    <xf numFmtId="0" fontId="13" fillId="12" borderId="44" xfId="0" applyFont="1" applyFill="1" applyBorder="1" applyAlignment="1">
      <alignment horizontal="left" vertical="center"/>
    </xf>
    <xf numFmtId="0" fontId="13" fillId="12" borderId="45" xfId="0" applyFont="1" applyFill="1" applyBorder="1" applyAlignment="1">
      <alignment horizontal="left" vertical="center"/>
    </xf>
    <xf numFmtId="0" fontId="13" fillId="13" borderId="26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166" fontId="13" fillId="18" borderId="26" xfId="0" applyNumberFormat="1" applyFont="1" applyFill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166" fontId="13" fillId="0" borderId="46" xfId="0" applyNumberFormat="1" applyFont="1" applyBorder="1" applyAlignment="1">
      <alignment horizontal="left" vertical="center"/>
    </xf>
    <xf numFmtId="164" fontId="13" fillId="0" borderId="46" xfId="0" applyNumberFormat="1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2" fontId="13" fillId="18" borderId="26" xfId="0" applyNumberFormat="1" applyFont="1" applyFill="1" applyBorder="1" applyAlignment="1">
      <alignment horizontal="left" vertical="center"/>
    </xf>
    <xf numFmtId="166" fontId="14" fillId="0" borderId="26" xfId="0" applyNumberFormat="1" applyFont="1" applyBorder="1" applyAlignment="1">
      <alignment horizontal="left" vertical="center"/>
    </xf>
    <xf numFmtId="166" fontId="13" fillId="0" borderId="47" xfId="0" applyNumberFormat="1" applyFont="1" applyBorder="1" applyAlignment="1">
      <alignment horizontal="left" vertical="center"/>
    </xf>
    <xf numFmtId="166" fontId="14" fillId="0" borderId="33" xfId="0" applyNumberFormat="1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164" fontId="13" fillId="18" borderId="26" xfId="0" applyNumberFormat="1" applyFont="1" applyFill="1" applyBorder="1" applyAlignment="1">
      <alignment horizontal="left" vertical="center"/>
    </xf>
    <xf numFmtId="166" fontId="13" fillId="0" borderId="33" xfId="0" applyNumberFormat="1" applyFont="1" applyBorder="1" applyAlignment="1">
      <alignment horizontal="left" vertical="center"/>
    </xf>
    <xf numFmtId="164" fontId="13" fillId="11" borderId="27" xfId="0" applyNumberFormat="1" applyFont="1" applyFill="1" applyBorder="1" applyAlignment="1">
      <alignment horizontal="left" vertical="center"/>
    </xf>
    <xf numFmtId="166" fontId="13" fillId="0" borderId="17" xfId="0" applyNumberFormat="1" applyFont="1" applyBorder="1" applyAlignment="1">
      <alignment horizontal="left" vertical="center"/>
    </xf>
    <xf numFmtId="166" fontId="13" fillId="0" borderId="48" xfId="0" applyNumberFormat="1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164" fontId="13" fillId="9" borderId="50" xfId="0" applyNumberFormat="1" applyFont="1" applyFill="1" applyBorder="1" applyAlignment="1">
      <alignment horizontal="left" vertical="center"/>
    </xf>
    <xf numFmtId="164" fontId="13" fillId="18" borderId="51" xfId="0" applyNumberFormat="1" applyFont="1" applyFill="1" applyBorder="1" applyAlignment="1">
      <alignment horizontal="left" vertical="center"/>
    </xf>
    <xf numFmtId="166" fontId="13" fillId="0" borderId="52" xfId="0" applyNumberFormat="1" applyFont="1" applyBorder="1" applyAlignment="1">
      <alignment horizontal="left" vertical="center"/>
    </xf>
    <xf numFmtId="166" fontId="13" fillId="0" borderId="53" xfId="0" applyNumberFormat="1" applyFont="1" applyBorder="1" applyAlignment="1">
      <alignment horizontal="left" vertical="center"/>
    </xf>
    <xf numFmtId="164" fontId="13" fillId="0" borderId="49" xfId="0" applyNumberFormat="1" applyFont="1" applyBorder="1" applyAlignment="1">
      <alignment horizontal="left" vertical="center"/>
    </xf>
    <xf numFmtId="164" fontId="13" fillId="11" borderId="50" xfId="0" applyNumberFormat="1" applyFont="1" applyFill="1" applyBorder="1" applyAlignment="1">
      <alignment horizontal="left" vertical="center"/>
    </xf>
    <xf numFmtId="166" fontId="13" fillId="0" borderId="54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0" fontId="6" fillId="12" borderId="26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12" borderId="26" xfId="0" applyFont="1" applyFill="1" applyBorder="1" applyAlignment="1">
      <alignment horizontal="left" vertical="center"/>
    </xf>
    <xf numFmtId="0" fontId="13" fillId="12" borderId="26" xfId="0" applyFont="1" applyFill="1" applyBorder="1" applyAlignment="1">
      <alignment horizontal="left" vertical="center"/>
    </xf>
    <xf numFmtId="2" fontId="13" fillId="12" borderId="35" xfId="0" applyNumberFormat="1" applyFont="1" applyFill="1" applyBorder="1" applyAlignment="1">
      <alignment horizontal="left" vertical="center"/>
    </xf>
    <xf numFmtId="0" fontId="6" fillId="12" borderId="27" xfId="0" applyFont="1" applyFill="1" applyBorder="1" applyAlignment="1">
      <alignment horizontal="left" vertical="center"/>
    </xf>
    <xf numFmtId="2" fontId="14" fillId="12" borderId="17" xfId="0" applyNumberFormat="1" applyFont="1" applyFill="1" applyBorder="1" applyAlignment="1">
      <alignment horizontal="left" vertical="center"/>
    </xf>
    <xf numFmtId="0" fontId="13" fillId="13" borderId="26" xfId="0" applyFont="1" applyFill="1" applyBorder="1" applyAlignment="1">
      <alignment horizontal="left" vertical="center"/>
    </xf>
    <xf numFmtId="0" fontId="6" fillId="13" borderId="26" xfId="0" applyFont="1" applyFill="1" applyBorder="1" applyAlignment="1">
      <alignment horizontal="left" vertical="center"/>
    </xf>
    <xf numFmtId="2" fontId="13" fillId="13" borderId="38" xfId="0" applyNumberFormat="1" applyFont="1" applyFill="1" applyBorder="1" applyAlignment="1">
      <alignment horizontal="left" vertical="center"/>
    </xf>
    <xf numFmtId="2" fontId="13" fillId="13" borderId="35" xfId="0" applyNumberFormat="1" applyFont="1" applyFill="1" applyBorder="1" applyAlignment="1">
      <alignment horizontal="left" vertical="center"/>
    </xf>
    <xf numFmtId="0" fontId="6" fillId="13" borderId="27" xfId="0" applyFont="1" applyFill="1" applyBorder="1" applyAlignment="1">
      <alignment horizontal="left" vertical="center"/>
    </xf>
    <xf numFmtId="2" fontId="14" fillId="13" borderId="17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2" fillId="0" borderId="56" xfId="0" applyFont="1" applyFill="1" applyBorder="1" applyAlignment="1">
      <alignment horizontal="justify" vertical="center" wrapText="1"/>
    </xf>
    <xf numFmtId="0" fontId="23" fillId="0" borderId="56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 wrapText="1"/>
    </xf>
    <xf numFmtId="14" fontId="10" fillId="0" borderId="31" xfId="0" applyNumberFormat="1" applyFont="1" applyBorder="1" applyAlignment="1">
      <alignment horizontal="left" vertical="center"/>
    </xf>
    <xf numFmtId="0" fontId="11" fillId="0" borderId="32" xfId="0" applyFont="1" applyBorder="1"/>
    <xf numFmtId="0" fontId="25" fillId="0" borderId="57" xfId="0" applyFont="1" applyFill="1" applyBorder="1" applyAlignment="1">
      <alignment horizontal="justify" vertical="center" wrapText="1"/>
    </xf>
    <xf numFmtId="0" fontId="25" fillId="0" borderId="58" xfId="0" applyFont="1" applyFill="1" applyBorder="1" applyAlignment="1">
      <alignment horizontal="justify" vertical="center" wrapText="1"/>
    </xf>
    <xf numFmtId="0" fontId="25" fillId="0" borderId="59" xfId="0" applyFont="1" applyFill="1" applyBorder="1" applyAlignment="1">
      <alignment horizontal="justify" vertical="center" wrapText="1"/>
    </xf>
    <xf numFmtId="0" fontId="25" fillId="0" borderId="61" xfId="0" applyFont="1" applyFill="1" applyBorder="1" applyAlignment="1">
      <alignment horizontal="justify" vertical="center" wrapText="1"/>
    </xf>
    <xf numFmtId="0" fontId="25" fillId="0" borderId="60" xfId="0" applyFont="1" applyFill="1" applyBorder="1" applyAlignment="1">
      <alignment horizontal="justify" vertical="center" wrapText="1"/>
    </xf>
    <xf numFmtId="0" fontId="25" fillId="0" borderId="6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10" Type="http://schemas.openxmlformats.org/officeDocument/2006/relationships/styles" Target="styles.xml"/><Relationship Id="rId8" Type="http://customschemas.google.com/relationships/workbookmetadata" Target="metadata"/><Relationship Id="rId9" Type="http://schemas.openxmlformats.org/officeDocument/2006/relationships/theme" Target="theme/theme1.xml"/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85"/>
  <sheetViews>
    <sheetView tabSelected="1" zoomScale="90" zoomScaleNormal="90" zoomScalePageLayoutView="90" workbookViewId="0">
      <selection activeCell="D15" sqref="D15"/>
    </sheetView>
  </sheetViews>
  <sheetFormatPr baseColWidth="10" defaultColWidth="12.5703125" defaultRowHeight="15" customHeight="1" x14ac:dyDescent="0"/>
  <cols>
    <col min="1" max="1" width="7.140625" customWidth="1"/>
    <col min="2" max="2" width="44.42578125" customWidth="1"/>
    <col min="3" max="7" width="10.7109375" customWidth="1"/>
    <col min="8" max="9" width="18.7109375" customWidth="1"/>
    <col min="10" max="11" width="10.7109375" customWidth="1"/>
    <col min="12" max="13" width="18.7109375" customWidth="1"/>
    <col min="14" max="15" width="10.7109375" customWidth="1"/>
    <col min="16" max="17" width="18.7109375" customWidth="1"/>
    <col min="18" max="19" width="10.7109375" customWidth="1"/>
    <col min="20" max="21" width="18.7109375" customWidth="1"/>
    <col min="22" max="23" width="10.7109375" customWidth="1"/>
    <col min="24" max="25" width="18.7109375" customWidth="1"/>
    <col min="26" max="28" width="10.7109375" customWidth="1"/>
    <col min="29" max="29" width="37.85546875" customWidth="1"/>
    <col min="30" max="48" width="13.7109375" customWidth="1"/>
    <col min="49" max="49" width="25.7109375" customWidth="1"/>
    <col min="50" max="58" width="13.7109375" customWidth="1"/>
    <col min="59" max="60" width="11.42578125" customWidth="1"/>
    <col min="61" max="61" width="25.28515625" customWidth="1"/>
    <col min="62" max="69" width="11.42578125" customWidth="1"/>
    <col min="70" max="70" width="15.42578125" customWidth="1"/>
  </cols>
  <sheetData>
    <row r="1" spans="1:70" ht="19.5" customHeight="1">
      <c r="A1" s="1"/>
      <c r="B1" s="1"/>
      <c r="C1" s="2"/>
      <c r="D1" s="1" t="s">
        <v>0</v>
      </c>
      <c r="E1" s="2"/>
      <c r="F1" s="1" t="s">
        <v>1</v>
      </c>
      <c r="G1" s="2"/>
      <c r="H1" s="1" t="s">
        <v>2</v>
      </c>
      <c r="I1" s="1" t="s">
        <v>3</v>
      </c>
      <c r="J1" s="2" t="s">
        <v>4</v>
      </c>
      <c r="K1" s="2"/>
      <c r="L1" s="1" t="s">
        <v>5</v>
      </c>
      <c r="M1" s="1" t="s">
        <v>6</v>
      </c>
      <c r="N1" s="2" t="s">
        <v>4</v>
      </c>
      <c r="O1" s="2"/>
      <c r="P1" s="1" t="s">
        <v>7</v>
      </c>
      <c r="Q1" s="1" t="s">
        <v>8</v>
      </c>
      <c r="R1" s="2" t="s">
        <v>4</v>
      </c>
      <c r="S1" s="2"/>
      <c r="T1" s="1" t="s">
        <v>9</v>
      </c>
      <c r="U1" s="1" t="s">
        <v>10</v>
      </c>
      <c r="V1" s="2" t="s">
        <v>4</v>
      </c>
      <c r="W1" s="2"/>
      <c r="X1" s="1" t="s">
        <v>11</v>
      </c>
      <c r="Y1" s="1" t="s">
        <v>12</v>
      </c>
      <c r="Z1" s="2" t="s">
        <v>4</v>
      </c>
      <c r="AA1" s="2"/>
      <c r="AB1" s="2"/>
      <c r="AC1" s="3" t="s">
        <v>13</v>
      </c>
      <c r="AD1" s="4" t="s">
        <v>14</v>
      </c>
      <c r="AE1" s="3" t="s">
        <v>2</v>
      </c>
      <c r="AF1" s="5" t="s">
        <v>5</v>
      </c>
      <c r="AG1" s="5" t="s">
        <v>7</v>
      </c>
      <c r="AH1" s="6" t="s">
        <v>9</v>
      </c>
      <c r="AI1" s="3" t="s">
        <v>11</v>
      </c>
      <c r="AJ1" s="2"/>
      <c r="AK1" s="2"/>
      <c r="AL1" s="3" t="s">
        <v>15</v>
      </c>
      <c r="AM1" s="7" t="s">
        <v>16</v>
      </c>
      <c r="AN1" s="8"/>
      <c r="AO1" s="4" t="s">
        <v>16</v>
      </c>
      <c r="AP1" s="9" t="s">
        <v>2</v>
      </c>
      <c r="AQ1" s="9" t="s">
        <v>5</v>
      </c>
      <c r="AR1" s="9" t="s">
        <v>7</v>
      </c>
      <c r="AS1" s="6" t="s">
        <v>9</v>
      </c>
      <c r="AT1" s="10" t="s">
        <v>11</v>
      </c>
      <c r="AU1" s="6" t="s">
        <v>17</v>
      </c>
      <c r="AV1" s="11"/>
      <c r="AW1" s="12" t="s">
        <v>18</v>
      </c>
      <c r="AX1" s="3" t="s">
        <v>16</v>
      </c>
      <c r="AY1" s="9" t="s">
        <v>2</v>
      </c>
      <c r="AZ1" s="9" t="s">
        <v>2</v>
      </c>
      <c r="BA1" s="9" t="s">
        <v>5</v>
      </c>
      <c r="BB1" s="9" t="s">
        <v>5</v>
      </c>
      <c r="BC1" s="9" t="s">
        <v>7</v>
      </c>
      <c r="BD1" s="9" t="s">
        <v>7</v>
      </c>
      <c r="BE1" s="3" t="s">
        <v>9</v>
      </c>
      <c r="BF1" s="9" t="s">
        <v>19</v>
      </c>
      <c r="BG1" s="13"/>
      <c r="BH1" s="13"/>
      <c r="BI1" s="13" t="s">
        <v>20</v>
      </c>
      <c r="BJ1" s="13" t="s">
        <v>16</v>
      </c>
      <c r="BK1" s="13" t="s">
        <v>2</v>
      </c>
      <c r="BL1" s="13" t="s">
        <v>2</v>
      </c>
      <c r="BM1" s="13" t="s">
        <v>5</v>
      </c>
      <c r="BN1" s="13" t="s">
        <v>5</v>
      </c>
      <c r="BO1" s="13" t="s">
        <v>7</v>
      </c>
      <c r="BP1" s="13" t="s">
        <v>7</v>
      </c>
      <c r="BQ1" s="13" t="s">
        <v>9</v>
      </c>
      <c r="BR1" s="13" t="s">
        <v>19</v>
      </c>
    </row>
    <row r="2" spans="1:70" ht="19.5" customHeight="1">
      <c r="A2" s="1" t="s">
        <v>21</v>
      </c>
      <c r="B2" s="1" t="s">
        <v>22</v>
      </c>
      <c r="C2" s="11"/>
      <c r="D2" s="1" t="s">
        <v>23</v>
      </c>
      <c r="E2" s="2"/>
      <c r="F2" s="1" t="s">
        <v>23</v>
      </c>
      <c r="G2" s="2"/>
      <c r="H2" s="1" t="s">
        <v>23</v>
      </c>
      <c r="I2" s="1" t="s">
        <v>23</v>
      </c>
      <c r="J2" s="2"/>
      <c r="K2" s="2"/>
      <c r="L2" s="1" t="s">
        <v>23</v>
      </c>
      <c r="M2" s="1" t="s">
        <v>23</v>
      </c>
      <c r="N2" s="2"/>
      <c r="O2" s="2"/>
      <c r="P2" s="1" t="s">
        <v>23</v>
      </c>
      <c r="Q2" s="1" t="s">
        <v>23</v>
      </c>
      <c r="R2" s="2"/>
      <c r="S2" s="2"/>
      <c r="T2" s="1" t="s">
        <v>23</v>
      </c>
      <c r="U2" s="1" t="s">
        <v>23</v>
      </c>
      <c r="V2" s="2"/>
      <c r="W2" s="2"/>
      <c r="X2" s="1" t="s">
        <v>23</v>
      </c>
      <c r="Y2" s="1" t="s">
        <v>23</v>
      </c>
      <c r="Z2" s="2"/>
      <c r="AA2" s="2"/>
      <c r="AB2" s="2"/>
      <c r="AC2" s="3"/>
      <c r="AD2" s="4" t="s">
        <v>24</v>
      </c>
      <c r="AE2" s="3" t="s">
        <v>25</v>
      </c>
      <c r="AF2" s="5" t="s">
        <v>25</v>
      </c>
      <c r="AG2" s="5" t="s">
        <v>25</v>
      </c>
      <c r="AH2" s="3" t="s">
        <v>25</v>
      </c>
      <c r="AI2" s="3" t="s">
        <v>25</v>
      </c>
      <c r="AJ2" s="2"/>
      <c r="AK2" s="2"/>
      <c r="AL2" s="3" t="s">
        <v>25</v>
      </c>
      <c r="AM2" s="7" t="s">
        <v>25</v>
      </c>
      <c r="AN2" s="8"/>
      <c r="AO2" s="4" t="s">
        <v>26</v>
      </c>
      <c r="AP2" s="9" t="s">
        <v>26</v>
      </c>
      <c r="AQ2" s="9" t="s">
        <v>26</v>
      </c>
      <c r="AR2" s="9" t="s">
        <v>26</v>
      </c>
      <c r="AS2" s="6" t="s">
        <v>26</v>
      </c>
      <c r="AT2" s="10" t="s">
        <v>27</v>
      </c>
      <c r="AU2" s="6" t="s">
        <v>26</v>
      </c>
      <c r="AV2" s="11"/>
      <c r="AW2" s="12"/>
      <c r="AX2" s="3" t="s">
        <v>26</v>
      </c>
      <c r="AY2" s="9" t="s">
        <v>26</v>
      </c>
      <c r="AZ2" s="9" t="s">
        <v>27</v>
      </c>
      <c r="BA2" s="9" t="s">
        <v>26</v>
      </c>
      <c r="BB2" s="9" t="s">
        <v>27</v>
      </c>
      <c r="BC2" s="9" t="s">
        <v>26</v>
      </c>
      <c r="BD2" s="9" t="s">
        <v>27</v>
      </c>
      <c r="BE2" s="3" t="s">
        <v>27</v>
      </c>
      <c r="BF2" s="9" t="s">
        <v>27</v>
      </c>
      <c r="BG2" s="13"/>
      <c r="BH2" s="13"/>
      <c r="BI2" s="13"/>
      <c r="BJ2" s="13" t="s">
        <v>26</v>
      </c>
      <c r="BK2" s="13" t="s">
        <v>26</v>
      </c>
      <c r="BL2" s="13" t="s">
        <v>27</v>
      </c>
      <c r="BM2" s="13" t="s">
        <v>26</v>
      </c>
      <c r="BN2" s="13" t="s">
        <v>27</v>
      </c>
      <c r="BO2" s="13" t="s">
        <v>26</v>
      </c>
      <c r="BP2" s="13" t="s">
        <v>27</v>
      </c>
      <c r="BQ2" s="13" t="s">
        <v>27</v>
      </c>
      <c r="BR2" s="13" t="s">
        <v>27</v>
      </c>
    </row>
    <row r="3" spans="1:70" ht="19.5" customHeight="1">
      <c r="A3" s="14"/>
      <c r="B3" s="237" t="s">
        <v>28</v>
      </c>
      <c r="C3" s="15"/>
      <c r="D3" s="16">
        <v>0.396247066224856</v>
      </c>
      <c r="E3" s="17"/>
      <c r="F3" s="18">
        <v>7</v>
      </c>
      <c r="G3" s="19"/>
      <c r="H3" s="20">
        <v>730.42395605903403</v>
      </c>
      <c r="I3" s="20">
        <v>791263.632652167</v>
      </c>
      <c r="J3" s="21">
        <f t="shared" ref="J3:J39" si="0">H3/I3</f>
        <v>9.2311073821349553E-4</v>
      </c>
      <c r="K3" s="22"/>
      <c r="L3" s="20">
        <v>1191.05426368756</v>
      </c>
      <c r="M3" s="20">
        <v>767567.02083113301</v>
      </c>
      <c r="N3" s="21">
        <f t="shared" ref="N3:N39" si="1">L3/M3</f>
        <v>1.5517267305177713E-3</v>
      </c>
      <c r="O3" s="22"/>
      <c r="P3" s="16">
        <v>208.52173158645601</v>
      </c>
      <c r="Q3" s="16">
        <v>158228.97341456701</v>
      </c>
      <c r="R3" s="23">
        <f t="shared" ref="R3:R39" si="2">P3/Q3</f>
        <v>1.3178479711179047E-3</v>
      </c>
      <c r="S3" s="24"/>
      <c r="T3" s="20">
        <v>607.24600791516104</v>
      </c>
      <c r="U3" s="16">
        <v>7185.1406528933403</v>
      </c>
      <c r="V3" s="25">
        <f t="shared" ref="V3:V39" si="3">T3/U3</f>
        <v>8.4514143459478816E-2</v>
      </c>
      <c r="W3" s="24"/>
      <c r="X3" s="16">
        <v>11983</v>
      </c>
      <c r="Y3" s="16">
        <v>336412.16007262701</v>
      </c>
      <c r="Z3" s="25">
        <f t="shared" ref="Z3:Z39" si="4">X3/Y3</f>
        <v>3.5619996605987803E-2</v>
      </c>
      <c r="AA3" s="25"/>
      <c r="AB3" s="27"/>
      <c r="AC3" s="237" t="s">
        <v>28</v>
      </c>
      <c r="AD3" s="28">
        <v>39</v>
      </c>
      <c r="AE3" s="29">
        <f t="shared" ref="AE3:AE39" si="5">(J3+0.000370649)/0.75157*50.96937</f>
        <v>8.7739157747258142E-2</v>
      </c>
      <c r="AF3" s="29">
        <f t="shared" ref="AF3:AF39" si="6">(N3+0.00396)/0.89129*7.65517241379309</f>
        <v>4.7339494911673663E-2</v>
      </c>
      <c r="AG3" s="29">
        <f t="shared" ref="AG3:AG39" si="7">(R3+0.00206)/1.18055*0.0455674860236046</f>
        <v>1.3037994173374808E-4</v>
      </c>
      <c r="AH3" s="30">
        <f t="shared" ref="AH3:AH39" si="8">(V3+0.01218)/0.94585*0.0430104</f>
        <v>4.3969485519369531E-3</v>
      </c>
      <c r="AI3" s="29">
        <f t="shared" ref="AI3:AI39" si="9">(Z3+0.00138)/0.9355*0.108859223300971</f>
        <v>4.3054953422409356E-3</v>
      </c>
      <c r="AJ3" s="31"/>
      <c r="AK3" s="31"/>
      <c r="AL3" s="16">
        <f t="shared" ref="AL3:AL39" si="10">(D3-0.1554)/0.54214*50/39</f>
        <v>0.56955452472030599</v>
      </c>
      <c r="AM3" s="32">
        <f t="shared" ref="AM3:AM39" si="11">(F3+0.02812)/0.28558*50/39</f>
        <v>31.551264991982134</v>
      </c>
      <c r="AN3" s="33"/>
      <c r="AO3" s="34">
        <f t="shared" ref="AO3:AO39" si="12">AM3/AL3*100</f>
        <v>5539.6390727430653</v>
      </c>
      <c r="AP3" s="26">
        <f t="shared" ref="AP3:AP39" si="13">AE3/AL3*100</f>
        <v>15.40487414973038</v>
      </c>
      <c r="AQ3" s="35">
        <f t="shared" ref="AQ3:AQ39" si="14">AF3/AL3*100</f>
        <v>8.3116704120507006</v>
      </c>
      <c r="AR3" s="29">
        <f t="shared" ref="AR3:AR39" si="15">AG3/AL3*100</f>
        <v>2.2891564560526389E-2</v>
      </c>
      <c r="AS3" s="29">
        <f t="shared" ref="AS3:AS39" si="16">AH3/AL3*100</f>
        <v>0.77199782656387195</v>
      </c>
      <c r="AT3" s="29">
        <f t="shared" ref="AT3:AT39" si="17">AI3/AL3*0.21</f>
        <v>1.5874757949023474E-3</v>
      </c>
      <c r="AU3" s="16">
        <f t="shared" ref="AU3:AU39" si="18">SUM(AO3:AQ3)</f>
        <v>5563.3556173048455</v>
      </c>
      <c r="AV3" s="31"/>
      <c r="AW3" s="237" t="s">
        <v>28</v>
      </c>
      <c r="AX3" s="26">
        <f t="shared" ref="AX3:AX39" si="19">AO3/AU3*100</f>
        <v>99.573700726805782</v>
      </c>
      <c r="AY3" s="26">
        <f t="shared" ref="AY3:AY39" si="20">AP3/AU3*100</f>
        <v>0.27689896546993048</v>
      </c>
      <c r="AZ3" s="29">
        <f t="shared" ref="AZ3:AZ39" si="21">AP3/AU3*0.21</f>
        <v>5.8148782748685399E-4</v>
      </c>
      <c r="BA3" s="35">
        <f t="shared" ref="BA3:BA39" si="22">AQ3/AU3*100</f>
        <v>0.14940030772430238</v>
      </c>
      <c r="BB3" s="29">
        <f t="shared" ref="BB3:BB39" si="23">AQ3/AU3*0.21</f>
        <v>3.1374064622103498E-4</v>
      </c>
      <c r="BC3" s="29">
        <f t="shared" ref="BC3:BC39" si="24">AR3/AU3*100</f>
        <v>4.1147045300002149E-4</v>
      </c>
      <c r="BD3" s="29">
        <f t="shared" ref="BD3:BD39" si="25">AR3/AU3*0.21</f>
        <v>8.6408795130004515E-7</v>
      </c>
      <c r="BE3" s="29">
        <f t="shared" ref="BE3:BE39" si="26">AS3/AU3*0.21</f>
        <v>2.9140604112046953E-5</v>
      </c>
      <c r="BF3" s="29">
        <f t="shared" ref="BF3:BF39" si="27">AT3/AU3*100</f>
        <v>2.8534501550907439E-5</v>
      </c>
      <c r="BG3" s="31"/>
      <c r="BH3" s="31"/>
      <c r="BI3" s="31" t="s">
        <v>28</v>
      </c>
      <c r="BJ3" s="31">
        <v>99.573700726805782</v>
      </c>
      <c r="BK3" s="36">
        <v>0.27689896546993048</v>
      </c>
      <c r="BL3" s="36">
        <v>5.8148782748685399E-4</v>
      </c>
      <c r="BM3" s="36">
        <v>0.14940030772430238</v>
      </c>
      <c r="BN3" s="36">
        <v>3.1374064622103498E-4</v>
      </c>
      <c r="BO3" s="36">
        <v>4.1147045300002149E-4</v>
      </c>
      <c r="BP3" s="36">
        <v>8.6408795130004515E-7</v>
      </c>
      <c r="BQ3" s="36">
        <v>2.9140604112046953E-5</v>
      </c>
      <c r="BR3" s="36">
        <v>2.8534501550907439E-5</v>
      </c>
    </row>
    <row r="4" spans="1:70" ht="19.5" customHeight="1">
      <c r="A4" s="37"/>
      <c r="B4" s="237" t="s">
        <v>29</v>
      </c>
      <c r="C4" s="38"/>
      <c r="D4" s="39">
        <v>243.46968065795801</v>
      </c>
      <c r="E4" s="40"/>
      <c r="F4" s="41">
        <v>181.007405133687</v>
      </c>
      <c r="G4" s="42"/>
      <c r="H4" s="43">
        <v>182511.06028683399</v>
      </c>
      <c r="I4" s="43">
        <v>378366.371992353</v>
      </c>
      <c r="J4" s="44">
        <f t="shared" si="0"/>
        <v>0.48236596536259474</v>
      </c>
      <c r="K4" s="45"/>
      <c r="L4" s="43">
        <v>5975.4649969185903</v>
      </c>
      <c r="M4" s="43">
        <v>303181.585417061</v>
      </c>
      <c r="N4" s="44">
        <f t="shared" si="1"/>
        <v>1.9709195031415425E-2</v>
      </c>
      <c r="O4" s="45"/>
      <c r="P4" s="39">
        <v>6467.0615348855199</v>
      </c>
      <c r="Q4" s="39">
        <v>220960.21411247799</v>
      </c>
      <c r="R4" s="46">
        <f t="shared" si="2"/>
        <v>2.9267990895381353E-2</v>
      </c>
      <c r="S4" s="47"/>
      <c r="T4" s="43">
        <v>5176.0759099552397</v>
      </c>
      <c r="U4" s="39">
        <v>2425.23278891061</v>
      </c>
      <c r="V4" s="27">
        <f t="shared" si="3"/>
        <v>2.134259413621189</v>
      </c>
      <c r="W4" s="47"/>
      <c r="X4" s="39">
        <v>29189.922540432999</v>
      </c>
      <c r="Y4" s="39">
        <v>207455.201094802</v>
      </c>
      <c r="Z4" s="27">
        <f t="shared" si="4"/>
        <v>0.14070470340771987</v>
      </c>
      <c r="AA4" s="27"/>
      <c r="AB4" s="27"/>
      <c r="AC4" s="237" t="s">
        <v>29</v>
      </c>
      <c r="AD4" s="49">
        <v>39</v>
      </c>
      <c r="AE4" s="50">
        <f t="shared" si="5"/>
        <v>32.737843594068956</v>
      </c>
      <c r="AF4" s="50">
        <f t="shared" si="6"/>
        <v>0.20329159853827575</v>
      </c>
      <c r="AG4" s="50">
        <f t="shared" si="7"/>
        <v>1.2092141690507833E-3</v>
      </c>
      <c r="AH4" s="51">
        <f t="shared" si="8"/>
        <v>9.7604501512515485E-2</v>
      </c>
      <c r="AI4" s="50">
        <f t="shared" si="9"/>
        <v>1.6533650941649613E-2</v>
      </c>
      <c r="AJ4" s="31"/>
      <c r="AK4" s="31"/>
      <c r="AL4" s="39">
        <f t="shared" si="10"/>
        <v>575.38898708621491</v>
      </c>
      <c r="AM4" s="52">
        <f t="shared" si="11"/>
        <v>812.72087364125809</v>
      </c>
      <c r="AN4" s="33"/>
      <c r="AO4" s="53">
        <f t="shared" si="12"/>
        <v>141.24720699937239</v>
      </c>
      <c r="AP4" s="50">
        <f t="shared" si="13"/>
        <v>5.6896889458823781</v>
      </c>
      <c r="AQ4" s="54">
        <f t="shared" si="14"/>
        <v>3.5331159111638512E-2</v>
      </c>
      <c r="AR4" s="50">
        <f t="shared" si="15"/>
        <v>2.1015594601041566E-4</v>
      </c>
      <c r="AS4" s="50">
        <f t="shared" si="16"/>
        <v>1.6963220308888298E-2</v>
      </c>
      <c r="AT4" s="50">
        <f t="shared" si="17"/>
        <v>6.0342946696443676E-6</v>
      </c>
      <c r="AU4" s="39">
        <f t="shared" si="18"/>
        <v>146.97222710436643</v>
      </c>
      <c r="AV4" s="31"/>
      <c r="AW4" s="237" t="s">
        <v>29</v>
      </c>
      <c r="AX4" s="48">
        <f t="shared" si="19"/>
        <v>96.104692554649361</v>
      </c>
      <c r="AY4" s="48">
        <f t="shared" si="20"/>
        <v>3.8712681014502648</v>
      </c>
      <c r="AZ4" s="50">
        <f t="shared" si="21"/>
        <v>8.1296630130455565E-3</v>
      </c>
      <c r="BA4" s="54">
        <f t="shared" si="22"/>
        <v>2.4039343900361193E-2</v>
      </c>
      <c r="BB4" s="50">
        <f t="shared" si="23"/>
        <v>5.0482622190758505E-5</v>
      </c>
      <c r="BC4" s="50">
        <f t="shared" si="24"/>
        <v>1.4299024390586519E-4</v>
      </c>
      <c r="BD4" s="50">
        <f t="shared" si="25"/>
        <v>3.0027951220231691E-7</v>
      </c>
      <c r="BE4" s="50">
        <f t="shared" si="26"/>
        <v>2.423775113877083E-5</v>
      </c>
      <c r="BF4" s="50">
        <f t="shared" si="27"/>
        <v>4.1057380625792356E-6</v>
      </c>
      <c r="BG4" s="31"/>
      <c r="BH4" s="31"/>
      <c r="BI4" s="31" t="s">
        <v>29</v>
      </c>
      <c r="BJ4" s="55">
        <f t="shared" ref="BJ4:BR4" si="28">AVERAGE(AX4:AX6)</f>
        <v>96.166357770638072</v>
      </c>
      <c r="BK4" s="55">
        <f t="shared" si="28"/>
        <v>3.8124142225359781</v>
      </c>
      <c r="BL4" s="56">
        <f t="shared" si="28"/>
        <v>8.0060698673255545E-3</v>
      </c>
      <c r="BM4" s="56">
        <f t="shared" si="28"/>
        <v>2.1228006825930915E-2</v>
      </c>
      <c r="BN4" s="56">
        <f t="shared" si="28"/>
        <v>4.4578814334454916E-5</v>
      </c>
      <c r="BO4" s="56">
        <f t="shared" si="28"/>
        <v>1.649851684000646E-4</v>
      </c>
      <c r="BP4" s="56">
        <f t="shared" si="28"/>
        <v>3.4646885364013565E-7</v>
      </c>
      <c r="BQ4" s="56">
        <f t="shared" si="28"/>
        <v>2.7925725596017137E-5</v>
      </c>
      <c r="BR4" s="56">
        <f t="shared" si="28"/>
        <v>3.6356374055931188E-6</v>
      </c>
    </row>
    <row r="5" spans="1:70" ht="19.5" customHeight="1">
      <c r="A5" s="37"/>
      <c r="B5" s="237" t="s">
        <v>29</v>
      </c>
      <c r="C5" s="38"/>
      <c r="D5" s="39">
        <v>310.81459103672699</v>
      </c>
      <c r="E5" s="40"/>
      <c r="F5" s="41">
        <v>186.994602172063</v>
      </c>
      <c r="G5" s="42"/>
      <c r="H5" s="43">
        <v>181281.407476427</v>
      </c>
      <c r="I5" s="43">
        <v>388010.18218108802</v>
      </c>
      <c r="J5" s="44">
        <f t="shared" si="0"/>
        <v>0.46720786154993543</v>
      </c>
      <c r="K5" s="45"/>
      <c r="L5" s="43">
        <v>5139.2547763736702</v>
      </c>
      <c r="M5" s="43">
        <v>313761.16632567497</v>
      </c>
      <c r="N5" s="44">
        <f t="shared" si="1"/>
        <v>1.6379511959868458E-2</v>
      </c>
      <c r="O5" s="45"/>
      <c r="P5" s="39">
        <v>5411.0608619136501</v>
      </c>
      <c r="Q5" s="39">
        <v>209692.82871048601</v>
      </c>
      <c r="R5" s="46">
        <f t="shared" si="2"/>
        <v>2.5804701549352802E-2</v>
      </c>
      <c r="S5" s="47"/>
      <c r="T5" s="43">
        <v>6986.1433222851401</v>
      </c>
      <c r="U5" s="39">
        <v>2770.3152767645602</v>
      </c>
      <c r="V5" s="27">
        <f t="shared" si="3"/>
        <v>2.5217863760417289</v>
      </c>
      <c r="W5" s="47"/>
      <c r="X5" s="39">
        <v>29372.9816678758</v>
      </c>
      <c r="Y5" s="39">
        <v>313645.57504546701</v>
      </c>
      <c r="Z5" s="27">
        <f t="shared" si="4"/>
        <v>9.3650234547762404E-2</v>
      </c>
      <c r="AA5" s="27"/>
      <c r="AB5" s="27"/>
      <c r="AC5" s="237" t="s">
        <v>29</v>
      </c>
      <c r="AD5" s="49">
        <v>39</v>
      </c>
      <c r="AE5" s="50">
        <f t="shared" si="5"/>
        <v>31.709863496771508</v>
      </c>
      <c r="AF5" s="50">
        <f t="shared" si="6"/>
        <v>0.17469338920575755</v>
      </c>
      <c r="AG5" s="50">
        <f t="shared" si="7"/>
        <v>1.0755363164643998E-3</v>
      </c>
      <c r="AH5" s="51">
        <f t="shared" si="8"/>
        <v>0.11522641795221776</v>
      </c>
      <c r="AI5" s="50">
        <f t="shared" si="9"/>
        <v>1.1058169452676129E-2</v>
      </c>
      <c r="AJ5" s="31"/>
      <c r="AK5" s="31"/>
      <c r="AL5" s="39">
        <f t="shared" si="10"/>
        <v>734.64605848978135</v>
      </c>
      <c r="AM5" s="52">
        <f t="shared" si="11"/>
        <v>839.59913416000461</v>
      </c>
      <c r="AN5" s="33"/>
      <c r="AO5" s="53">
        <f t="shared" si="12"/>
        <v>114.28620959132023</v>
      </c>
      <c r="AP5" s="48">
        <f t="shared" si="13"/>
        <v>4.3163456919591683</v>
      </c>
      <c r="AQ5" s="50">
        <f t="shared" si="14"/>
        <v>2.3779259030515507E-2</v>
      </c>
      <c r="AR5" s="50">
        <f t="shared" si="15"/>
        <v>1.4640197194760557E-4</v>
      </c>
      <c r="AS5" s="50">
        <f t="shared" si="16"/>
        <v>1.5684616642344718E-2</v>
      </c>
      <c r="AT5" s="50">
        <f t="shared" si="17"/>
        <v>3.1609991753522598E-6</v>
      </c>
      <c r="AU5" s="39">
        <f t="shared" si="18"/>
        <v>118.62633454230992</v>
      </c>
      <c r="AV5" s="31"/>
      <c r="AW5" s="237" t="s">
        <v>29</v>
      </c>
      <c r="AX5" s="48">
        <f t="shared" si="19"/>
        <v>96.341347840060152</v>
      </c>
      <c r="AY5" s="48">
        <f t="shared" si="20"/>
        <v>3.6386066454912478</v>
      </c>
      <c r="AZ5" s="50">
        <f t="shared" si="21"/>
        <v>7.6410739555316199E-3</v>
      </c>
      <c r="BA5" s="54">
        <f t="shared" si="22"/>
        <v>2.0045514448593423E-2</v>
      </c>
      <c r="BB5" s="50">
        <f t="shared" si="23"/>
        <v>4.2095580342046191E-5</v>
      </c>
      <c r="BC5" s="50">
        <f t="shared" si="24"/>
        <v>1.2341439404029553E-4</v>
      </c>
      <c r="BD5" s="50">
        <f t="shared" si="25"/>
        <v>2.5917022748462062E-7</v>
      </c>
      <c r="BE5" s="50">
        <f t="shared" si="26"/>
        <v>2.776592151819052E-5</v>
      </c>
      <c r="BF5" s="50">
        <f t="shared" si="27"/>
        <v>2.6646690109309922E-6</v>
      </c>
      <c r="BG5" s="31"/>
      <c r="BH5" s="31"/>
      <c r="BI5" s="31" t="s">
        <v>30</v>
      </c>
      <c r="BJ5" s="55">
        <f t="shared" ref="BJ5:BR5" si="29">AVERAGE(AX7:AX9)</f>
        <v>96.477961802812032</v>
      </c>
      <c r="BK5" s="55">
        <f t="shared" si="29"/>
        <v>3.4922330964873503</v>
      </c>
      <c r="BL5" s="56">
        <f t="shared" si="29"/>
        <v>7.3336895026234359E-3</v>
      </c>
      <c r="BM5" s="56">
        <f t="shared" si="29"/>
        <v>2.9805100700620479E-2</v>
      </c>
      <c r="BN5" s="56">
        <f t="shared" si="29"/>
        <v>6.2590711471302996E-5</v>
      </c>
      <c r="BO5" s="56">
        <f t="shared" si="29"/>
        <v>1.8294380869475808E-4</v>
      </c>
      <c r="BP5" s="56">
        <f t="shared" si="29"/>
        <v>3.8418199825899201E-7</v>
      </c>
      <c r="BQ5" s="56">
        <f t="shared" si="29"/>
        <v>1.4351146838047633E-5</v>
      </c>
      <c r="BR5" s="56">
        <f t="shared" si="29"/>
        <v>4.9315392171383014E-6</v>
      </c>
    </row>
    <row r="6" spans="1:70" ht="19.5" customHeight="1">
      <c r="A6" s="37"/>
      <c r="B6" s="237" t="s">
        <v>29</v>
      </c>
      <c r="C6" s="38"/>
      <c r="D6" s="39">
        <v>248.46946366750601</v>
      </c>
      <c r="E6" s="40"/>
      <c r="F6" s="41">
        <v>157.06363408014701</v>
      </c>
      <c r="G6" s="42"/>
      <c r="H6" s="43">
        <v>179399.283760897</v>
      </c>
      <c r="I6" s="43">
        <v>422296.79266340402</v>
      </c>
      <c r="J6" s="44">
        <f t="shared" si="0"/>
        <v>0.42481801159188304</v>
      </c>
      <c r="K6" s="45"/>
      <c r="L6" s="43">
        <v>4370.7973187617699</v>
      </c>
      <c r="M6" s="43">
        <v>341625.62329474202</v>
      </c>
      <c r="N6" s="44">
        <f t="shared" si="1"/>
        <v>1.2794114436172743E-2</v>
      </c>
      <c r="O6" s="45"/>
      <c r="P6" s="39">
        <v>6029.4737967749397</v>
      </c>
      <c r="Q6" s="39">
        <v>145589.34921239101</v>
      </c>
      <c r="R6" s="46">
        <f t="shared" si="2"/>
        <v>4.1414250626115E-2</v>
      </c>
      <c r="S6" s="47"/>
      <c r="T6" s="43">
        <v>8343.4165276060794</v>
      </c>
      <c r="U6" s="39">
        <v>3432.4175685805599</v>
      </c>
      <c r="V6" s="27">
        <f t="shared" si="3"/>
        <v>2.4307696720758867</v>
      </c>
      <c r="W6" s="47"/>
      <c r="X6" s="39">
        <v>33485.726654117898</v>
      </c>
      <c r="Y6" s="39">
        <v>272455.89640986099</v>
      </c>
      <c r="Z6" s="27">
        <f t="shared" si="4"/>
        <v>0.12290329222218276</v>
      </c>
      <c r="AA6" s="27"/>
      <c r="AB6" s="27"/>
      <c r="AC6" s="237" t="s">
        <v>29</v>
      </c>
      <c r="AD6" s="49">
        <v>39</v>
      </c>
      <c r="AE6" s="50">
        <f t="shared" si="5"/>
        <v>28.835102733627078</v>
      </c>
      <c r="AF6" s="50">
        <f t="shared" si="6"/>
        <v>0.14389888212514687</v>
      </c>
      <c r="AG6" s="50">
        <f t="shared" si="7"/>
        <v>1.6780418515032645E-3</v>
      </c>
      <c r="AH6" s="51">
        <f t="shared" si="8"/>
        <v>0.11108763818348863</v>
      </c>
      <c r="AI6" s="50">
        <f t="shared" si="9"/>
        <v>1.4462194185563257E-2</v>
      </c>
      <c r="AJ6" s="31"/>
      <c r="AK6" s="31"/>
      <c r="AL6" s="39">
        <f t="shared" si="10"/>
        <v>587.21246112865651</v>
      </c>
      <c r="AM6" s="52">
        <f t="shared" si="11"/>
        <v>705.23035478022689</v>
      </c>
      <c r="AN6" s="33"/>
      <c r="AO6" s="53">
        <f t="shared" si="12"/>
        <v>120.09798862659234</v>
      </c>
      <c r="AP6" s="48">
        <f t="shared" si="13"/>
        <v>4.9105059313973571</v>
      </c>
      <c r="AQ6" s="54">
        <f t="shared" si="14"/>
        <v>2.4505420380310877E-2</v>
      </c>
      <c r="AR6" s="50">
        <f t="shared" si="15"/>
        <v>2.8576400580429962E-4</v>
      </c>
      <c r="AS6" s="50">
        <f t="shared" si="16"/>
        <v>1.8917793053977724E-2</v>
      </c>
      <c r="AT6" s="50">
        <f t="shared" si="17"/>
        <v>5.1719964748889631E-6</v>
      </c>
      <c r="AU6" s="39">
        <f t="shared" si="18"/>
        <v>125.03299997837</v>
      </c>
      <c r="AV6" s="31"/>
      <c r="AW6" s="237" t="s">
        <v>29</v>
      </c>
      <c r="AX6" s="48">
        <f t="shared" si="19"/>
        <v>96.053032917204746</v>
      </c>
      <c r="AY6" s="48">
        <f t="shared" si="20"/>
        <v>3.9273679206664212</v>
      </c>
      <c r="AZ6" s="50">
        <f t="shared" si="21"/>
        <v>8.2474726333994844E-3</v>
      </c>
      <c r="BA6" s="54">
        <f t="shared" si="22"/>
        <v>1.9599162128838128E-2</v>
      </c>
      <c r="BB6" s="50">
        <f t="shared" si="23"/>
        <v>4.1158240470560065E-5</v>
      </c>
      <c r="BC6" s="50">
        <f t="shared" si="24"/>
        <v>2.285508672540331E-4</v>
      </c>
      <c r="BD6" s="50">
        <f t="shared" si="25"/>
        <v>4.7995682123346952E-7</v>
      </c>
      <c r="BE6" s="50">
        <f t="shared" si="26"/>
        <v>3.1773504131090059E-5</v>
      </c>
      <c r="BF6" s="50">
        <f t="shared" si="27"/>
        <v>4.1365051432691285E-6</v>
      </c>
      <c r="BG6" s="31"/>
      <c r="BH6" s="31"/>
      <c r="BI6" s="68" t="s">
        <v>110</v>
      </c>
      <c r="BJ6" s="55">
        <f t="shared" ref="BJ6:BR6" si="30">AVERAGE(AX10:AX12)</f>
        <v>97.583642348049807</v>
      </c>
      <c r="BK6" s="55">
        <f t="shared" si="30"/>
        <v>2.394580811970497</v>
      </c>
      <c r="BL6" s="56">
        <f t="shared" si="30"/>
        <v>5.0286197051380432E-3</v>
      </c>
      <c r="BM6" s="56">
        <f t="shared" si="30"/>
        <v>2.177683997968986E-2</v>
      </c>
      <c r="BN6" s="56">
        <f t="shared" si="30"/>
        <v>4.5731363957348708E-5</v>
      </c>
      <c r="BO6" s="56">
        <f t="shared" si="30"/>
        <v>1.534196545374497E-4</v>
      </c>
      <c r="BP6" s="56">
        <f t="shared" si="30"/>
        <v>3.2218127452864439E-7</v>
      </c>
      <c r="BQ6" s="56">
        <f t="shared" si="30"/>
        <v>2.0671291282842196E-5</v>
      </c>
      <c r="BR6" s="56">
        <f t="shared" si="30"/>
        <v>3.8426507377180535E-6</v>
      </c>
    </row>
    <row r="7" spans="1:70" ht="19.5" customHeight="1">
      <c r="A7" s="37"/>
      <c r="B7" s="237" t="s">
        <v>109</v>
      </c>
      <c r="C7" s="38"/>
      <c r="D7" s="39">
        <v>149.89065788502401</v>
      </c>
      <c r="E7" s="40"/>
      <c r="F7" s="41">
        <v>158.48589437617801</v>
      </c>
      <c r="G7" s="42"/>
      <c r="H7" s="43">
        <v>153460.676708182</v>
      </c>
      <c r="I7" s="43">
        <v>423672.54767223098</v>
      </c>
      <c r="J7" s="44">
        <f t="shared" si="0"/>
        <v>0.3622152946924117</v>
      </c>
      <c r="K7" s="45"/>
      <c r="L7" s="43">
        <v>7811.5002238397001</v>
      </c>
      <c r="M7" s="43">
        <v>352793.03688716103</v>
      </c>
      <c r="N7" s="44">
        <f t="shared" si="1"/>
        <v>2.2141877551676754E-2</v>
      </c>
      <c r="O7" s="45"/>
      <c r="P7" s="39">
        <v>1144.2779448291701</v>
      </c>
      <c r="Q7" s="39">
        <v>51168.379887701398</v>
      </c>
      <c r="R7" s="46">
        <f t="shared" si="2"/>
        <v>2.2362989552151203E-2</v>
      </c>
      <c r="S7" s="47"/>
      <c r="T7" s="43">
        <v>4105.5475628878403</v>
      </c>
      <c r="U7" s="39">
        <v>2519.5426276051599</v>
      </c>
      <c r="V7" s="27">
        <f t="shared" si="3"/>
        <v>1.6294812867644106</v>
      </c>
      <c r="W7" s="47"/>
      <c r="X7" s="39">
        <v>40540.067115232603</v>
      </c>
      <c r="Y7" s="39">
        <v>214192.92161841999</v>
      </c>
      <c r="Z7" s="27">
        <f t="shared" si="4"/>
        <v>0.18926893946315299</v>
      </c>
      <c r="AA7" s="27"/>
      <c r="AB7" s="27"/>
      <c r="AC7" s="237" t="s">
        <v>109</v>
      </c>
      <c r="AD7" s="49">
        <v>39</v>
      </c>
      <c r="AE7" s="50">
        <f t="shared" si="5"/>
        <v>24.589562011333207</v>
      </c>
      <c r="AF7" s="50">
        <f t="shared" si="6"/>
        <v>0.22418558828417351</v>
      </c>
      <c r="AG7" s="50">
        <f t="shared" si="7"/>
        <v>9.426913176674356E-4</v>
      </c>
      <c r="AH7" s="51">
        <f t="shared" si="8"/>
        <v>7.4650852258024009E-2</v>
      </c>
      <c r="AI7" s="50">
        <f t="shared" si="9"/>
        <v>2.2184816112359885E-2</v>
      </c>
      <c r="AJ7" s="31"/>
      <c r="AK7" s="31"/>
      <c r="AL7" s="39">
        <f t="shared" si="10"/>
        <v>354.09355395243739</v>
      </c>
      <c r="AM7" s="52">
        <f t="shared" si="11"/>
        <v>711.61529292693592</v>
      </c>
      <c r="AN7" s="33"/>
      <c r="AO7" s="53">
        <f t="shared" si="12"/>
        <v>200.96815798644042</v>
      </c>
      <c r="AP7" s="48">
        <f t="shared" si="13"/>
        <v>6.9443687231414923</v>
      </c>
      <c r="AQ7" s="54">
        <f t="shared" si="14"/>
        <v>6.3312530200503619E-2</v>
      </c>
      <c r="AR7" s="50">
        <f t="shared" si="15"/>
        <v>2.6622662489757151E-4</v>
      </c>
      <c r="AS7" s="50">
        <f t="shared" si="16"/>
        <v>2.1082239827514983E-2</v>
      </c>
      <c r="AT7" s="50">
        <f t="shared" si="17"/>
        <v>1.315700704402362E-5</v>
      </c>
      <c r="AU7" s="39">
        <f t="shared" si="18"/>
        <v>207.9758392397824</v>
      </c>
      <c r="AV7" s="31"/>
      <c r="AW7" s="237" t="s">
        <v>109</v>
      </c>
      <c r="AX7" s="48">
        <f t="shared" si="19"/>
        <v>96.630531085265829</v>
      </c>
      <c r="AY7" s="48">
        <f t="shared" si="20"/>
        <v>3.3390266621956473</v>
      </c>
      <c r="AZ7" s="50">
        <f t="shared" si="21"/>
        <v>7.0119559906108592E-3</v>
      </c>
      <c r="BA7" s="54">
        <f t="shared" si="22"/>
        <v>3.044225253853091E-2</v>
      </c>
      <c r="BB7" s="50">
        <f t="shared" si="23"/>
        <v>6.39287303309149E-5</v>
      </c>
      <c r="BC7" s="50">
        <f t="shared" si="24"/>
        <v>1.2800843880265812E-4</v>
      </c>
      <c r="BD7" s="50">
        <f t="shared" si="25"/>
        <v>2.6881772148558206E-7</v>
      </c>
      <c r="BE7" s="50">
        <f t="shared" si="26"/>
        <v>2.1287426366260729E-5</v>
      </c>
      <c r="BF7" s="50">
        <f t="shared" si="27"/>
        <v>6.326218993569951E-6</v>
      </c>
      <c r="BG7" s="31"/>
      <c r="BH7" s="31"/>
      <c r="BI7" s="68" t="s">
        <v>111</v>
      </c>
      <c r="BJ7" s="55">
        <f t="shared" ref="BJ7:BR7" si="31">AVERAGE(AX13:AX15)</f>
        <v>96.961580511336592</v>
      </c>
      <c r="BK7" s="55">
        <f t="shared" si="31"/>
        <v>3.0186523846875484</v>
      </c>
      <c r="BL7" s="56">
        <f t="shared" si="31"/>
        <v>6.3391700078438513E-3</v>
      </c>
      <c r="BM7" s="56">
        <f t="shared" si="31"/>
        <v>1.9767103975851848E-2</v>
      </c>
      <c r="BN7" s="56">
        <f t="shared" si="31"/>
        <v>4.1510918349288874E-5</v>
      </c>
      <c r="BO7" s="56">
        <f t="shared" si="31"/>
        <v>1.3684494789645586E-4</v>
      </c>
      <c r="BP7" s="56">
        <f t="shared" si="31"/>
        <v>2.8737439058255729E-7</v>
      </c>
      <c r="BQ7" s="56">
        <f t="shared" si="31"/>
        <v>3.4524501677797256E-5</v>
      </c>
      <c r="BR7" s="56">
        <f t="shared" si="31"/>
        <v>3.1741453462343873E-6</v>
      </c>
    </row>
    <row r="8" spans="1:70" ht="19.5" customHeight="1">
      <c r="A8" s="37"/>
      <c r="B8" s="237" t="s">
        <v>30</v>
      </c>
      <c r="C8" s="38"/>
      <c r="D8" s="39">
        <v>61.727486829019298</v>
      </c>
      <c r="E8" s="40"/>
      <c r="F8" s="41">
        <v>145.64547949111301</v>
      </c>
      <c r="G8" s="42"/>
      <c r="H8" s="43">
        <v>100474.71609555501</v>
      </c>
      <c r="I8" s="43">
        <v>393919.61138075998</v>
      </c>
      <c r="J8" s="44">
        <f t="shared" si="0"/>
        <v>0.25506401101324411</v>
      </c>
      <c r="K8" s="45"/>
      <c r="L8" s="43">
        <v>6564.8291328037203</v>
      </c>
      <c r="M8" s="43">
        <v>346910.80685988802</v>
      </c>
      <c r="N8" s="44">
        <f t="shared" si="1"/>
        <v>1.8923680101597857E-2</v>
      </c>
      <c r="O8" s="45"/>
      <c r="P8" s="39">
        <v>11380.538290474</v>
      </c>
      <c r="Q8" s="39">
        <v>244509.56530559799</v>
      </c>
      <c r="R8" s="46">
        <f t="shared" si="2"/>
        <v>4.6544347973667778E-2</v>
      </c>
      <c r="S8" s="47"/>
      <c r="T8" s="43">
        <v>4020.6283745318301</v>
      </c>
      <c r="U8" s="39">
        <v>3963.8434827880101</v>
      </c>
      <c r="V8" s="27">
        <f t="shared" si="3"/>
        <v>1.0143257149255247</v>
      </c>
      <c r="W8" s="47"/>
      <c r="X8" s="39">
        <v>9587.2506532195002</v>
      </c>
      <c r="Y8" s="39">
        <v>100913.037034496</v>
      </c>
      <c r="Z8" s="27">
        <f t="shared" si="4"/>
        <v>9.5005075012678547E-2</v>
      </c>
      <c r="AA8" s="27"/>
      <c r="AB8" s="27"/>
      <c r="AC8" s="237" t="s">
        <v>30</v>
      </c>
      <c r="AD8" s="49">
        <v>39</v>
      </c>
      <c r="AE8" s="50">
        <f t="shared" si="5"/>
        <v>17.32286240408644</v>
      </c>
      <c r="AF8" s="50">
        <f t="shared" si="6"/>
        <v>0.19654491427012283</v>
      </c>
      <c r="AG8" s="50">
        <f t="shared" si="7"/>
        <v>1.8760560306437855E-3</v>
      </c>
      <c r="AH8" s="51">
        <f t="shared" si="8"/>
        <v>4.6678037110781619E-2</v>
      </c>
      <c r="AI8" s="50">
        <f t="shared" si="9"/>
        <v>1.1215825124196704E-2</v>
      </c>
      <c r="AJ8" s="31"/>
      <c r="AK8" s="31"/>
      <c r="AL8" s="39">
        <f t="shared" si="10"/>
        <v>145.60551307359179</v>
      </c>
      <c r="AM8" s="52">
        <f t="shared" si="11"/>
        <v>653.97095380841233</v>
      </c>
      <c r="AN8" s="33"/>
      <c r="AO8" s="53">
        <f t="shared" si="12"/>
        <v>449.13886844235282</v>
      </c>
      <c r="AP8" s="48">
        <f t="shared" si="13"/>
        <v>11.897119853786812</v>
      </c>
      <c r="AQ8" s="54">
        <f t="shared" si="14"/>
        <v>0.13498452779791742</v>
      </c>
      <c r="AR8" s="50">
        <f t="shared" si="15"/>
        <v>1.2884512344636229E-3</v>
      </c>
      <c r="AS8" s="50">
        <f t="shared" si="16"/>
        <v>3.2057877566208398E-2</v>
      </c>
      <c r="AT8" s="50">
        <f t="shared" si="17"/>
        <v>1.6176058353579526E-5</v>
      </c>
      <c r="AU8" s="39">
        <f t="shared" si="18"/>
        <v>461.17097282393757</v>
      </c>
      <c r="AV8" s="31"/>
      <c r="AW8" s="237" t="s">
        <v>30</v>
      </c>
      <c r="AX8" s="48">
        <f t="shared" si="19"/>
        <v>97.390966671664685</v>
      </c>
      <c r="AY8" s="48">
        <f t="shared" si="20"/>
        <v>2.5797633751612565</v>
      </c>
      <c r="AZ8" s="50">
        <f t="shared" si="21"/>
        <v>5.417503087838638E-3</v>
      </c>
      <c r="BA8" s="54">
        <f t="shared" si="22"/>
        <v>2.9269953174058682E-2</v>
      </c>
      <c r="BB8" s="50">
        <f t="shared" si="23"/>
        <v>6.1466901665523235E-5</v>
      </c>
      <c r="BC8" s="50">
        <f t="shared" si="24"/>
        <v>2.7938688911271055E-4</v>
      </c>
      <c r="BD8" s="50">
        <f t="shared" si="25"/>
        <v>5.8671246713669211E-7</v>
      </c>
      <c r="BE8" s="50">
        <f t="shared" si="26"/>
        <v>1.4597957559384196E-5</v>
      </c>
      <c r="BF8" s="50">
        <f t="shared" si="27"/>
        <v>3.5076054883781901E-6</v>
      </c>
      <c r="BG8" s="31"/>
      <c r="BH8" s="31"/>
      <c r="BI8" s="68" t="s">
        <v>112</v>
      </c>
      <c r="BJ8" s="55">
        <f t="shared" ref="BJ8:BR8" si="32">AVERAGE(AX16:AX18)</f>
        <v>98.009615591535351</v>
      </c>
      <c r="BK8" s="55">
        <f t="shared" si="32"/>
        <v>1.9703262059246331</v>
      </c>
      <c r="BL8" s="56">
        <f t="shared" si="32"/>
        <v>4.1376850324417293E-3</v>
      </c>
      <c r="BM8" s="56">
        <f t="shared" si="32"/>
        <v>2.005820254000984E-2</v>
      </c>
      <c r="BN8" s="56">
        <f t="shared" si="32"/>
        <v>4.2122225334020656E-5</v>
      </c>
      <c r="BO8" s="56">
        <f t="shared" si="32"/>
        <v>1.219843066571224E-4</v>
      </c>
      <c r="BP8" s="56">
        <f t="shared" si="32"/>
        <v>2.561670439799571E-7</v>
      </c>
      <c r="BQ8" s="56">
        <f t="shared" si="32"/>
        <v>2.723960522403543E-5</v>
      </c>
      <c r="BR8" s="56">
        <f t="shared" si="32"/>
        <v>4.8468473643581571E-6</v>
      </c>
    </row>
    <row r="9" spans="1:70" ht="19.5" customHeight="1">
      <c r="A9" s="37"/>
      <c r="B9" s="237" t="s">
        <v>30</v>
      </c>
      <c r="C9" s="38"/>
      <c r="D9" s="39">
        <v>308.39085566159298</v>
      </c>
      <c r="E9" s="40"/>
      <c r="F9" s="41">
        <v>155.75681430339301</v>
      </c>
      <c r="G9" s="42"/>
      <c r="H9" s="43">
        <v>525551.15056493296</v>
      </c>
      <c r="I9" s="43">
        <v>1067622.51840617</v>
      </c>
      <c r="J9" s="44">
        <f t="shared" si="0"/>
        <v>0.49226308128973961</v>
      </c>
      <c r="K9" s="45"/>
      <c r="L9" s="43">
        <v>9329.1482388780205</v>
      </c>
      <c r="M9" s="43">
        <v>436161.83548430598</v>
      </c>
      <c r="N9" s="44">
        <f t="shared" si="1"/>
        <v>2.1389189699550646E-2</v>
      </c>
      <c r="O9" s="45"/>
      <c r="P9" s="39">
        <v>5539.2219378107002</v>
      </c>
      <c r="Q9" s="39">
        <v>223365.819702059</v>
      </c>
      <c r="R9" s="46">
        <f t="shared" si="2"/>
        <v>2.4798879010223242E-2</v>
      </c>
      <c r="S9" s="47"/>
      <c r="T9" s="43">
        <v>6921.9687148295397</v>
      </c>
      <c r="U9" s="39">
        <v>12865.3731163548</v>
      </c>
      <c r="V9" s="27">
        <f t="shared" si="3"/>
        <v>0.53803093406052493</v>
      </c>
      <c r="W9" s="47"/>
      <c r="X9" s="39">
        <v>52189.379404786603</v>
      </c>
      <c r="Y9" s="39">
        <v>354013.576336228</v>
      </c>
      <c r="Z9" s="27">
        <f t="shared" si="4"/>
        <v>0.14742197162297305</v>
      </c>
      <c r="AA9" s="27"/>
      <c r="AB9" s="27"/>
      <c r="AC9" s="237" t="s">
        <v>30</v>
      </c>
      <c r="AD9" s="49">
        <v>39</v>
      </c>
      <c r="AE9" s="50">
        <f t="shared" si="5"/>
        <v>33.409038244764886</v>
      </c>
      <c r="AF9" s="50">
        <f t="shared" si="6"/>
        <v>0.21772085146249598</v>
      </c>
      <c r="AG9" s="50">
        <f t="shared" si="7"/>
        <v>1.0367130523129342E-3</v>
      </c>
      <c r="AH9" s="51">
        <f t="shared" si="8"/>
        <v>2.501960391004578E-2</v>
      </c>
      <c r="AI9" s="50">
        <f t="shared" si="9"/>
        <v>1.7315304175873833E-2</v>
      </c>
      <c r="AJ9" s="31"/>
      <c r="AK9" s="31"/>
      <c r="AL9" s="39">
        <f t="shared" si="10"/>
        <v>728.91441528868268</v>
      </c>
      <c r="AM9" s="52">
        <f t="shared" si="11"/>
        <v>699.36366253918266</v>
      </c>
      <c r="AN9" s="33"/>
      <c r="AO9" s="53">
        <f t="shared" si="12"/>
        <v>95.945922850517846</v>
      </c>
      <c r="AP9" s="50">
        <f t="shared" si="13"/>
        <v>4.5833965612455909</v>
      </c>
      <c r="AQ9" s="50">
        <f t="shared" si="14"/>
        <v>2.9869192719459224E-2</v>
      </c>
      <c r="AR9" s="50">
        <f t="shared" si="15"/>
        <v>1.4222699271249144E-4</v>
      </c>
      <c r="AS9" s="50">
        <f t="shared" si="16"/>
        <v>3.4324474019541648E-3</v>
      </c>
      <c r="AT9" s="50">
        <f t="shared" si="17"/>
        <v>4.9885333595623868E-6</v>
      </c>
      <c r="AU9" s="39">
        <f t="shared" si="18"/>
        <v>100.5591886044829</v>
      </c>
      <c r="AV9" s="31"/>
      <c r="AW9" s="237" t="s">
        <v>30</v>
      </c>
      <c r="AX9" s="48">
        <f t="shared" si="19"/>
        <v>95.412387651505583</v>
      </c>
      <c r="AY9" s="48">
        <f t="shared" si="20"/>
        <v>4.5579092521051479</v>
      </c>
      <c r="AZ9" s="50">
        <f t="shared" si="21"/>
        <v>9.5716094294208097E-3</v>
      </c>
      <c r="BA9" s="54">
        <f t="shared" si="22"/>
        <v>2.9703096389271846E-2</v>
      </c>
      <c r="BB9" s="50">
        <f t="shared" si="23"/>
        <v>6.2376502417470868E-5</v>
      </c>
      <c r="BC9" s="50">
        <f t="shared" si="24"/>
        <v>1.4143609816890567E-4</v>
      </c>
      <c r="BD9" s="50">
        <f t="shared" si="25"/>
        <v>2.9701580615470186E-7</v>
      </c>
      <c r="BE9" s="50">
        <f t="shared" si="26"/>
        <v>7.1680565884979797E-6</v>
      </c>
      <c r="BF9" s="50">
        <f t="shared" si="27"/>
        <v>4.9607931694667627E-6</v>
      </c>
      <c r="BG9" s="31"/>
      <c r="BH9" s="31"/>
      <c r="BI9" s="68" t="s">
        <v>31</v>
      </c>
      <c r="BJ9" s="55">
        <f t="shared" ref="BJ9:BR9" si="33">AVERAGE(AX19:AX21)</f>
        <v>97.236298915647282</v>
      </c>
      <c r="BK9" s="55">
        <f t="shared" si="33"/>
        <v>2.7374782565269569</v>
      </c>
      <c r="BL9" s="56">
        <f t="shared" si="33"/>
        <v>5.7487043387066091E-3</v>
      </c>
      <c r="BM9" s="56">
        <f t="shared" si="33"/>
        <v>2.6222827825779244E-2</v>
      </c>
      <c r="BN9" s="56">
        <f t="shared" si="33"/>
        <v>5.5067938434136402E-5</v>
      </c>
      <c r="BO9" s="56">
        <f t="shared" si="33"/>
        <v>1.607916531094521E-4</v>
      </c>
      <c r="BP9" s="56">
        <f t="shared" si="33"/>
        <v>3.3766247152984932E-7</v>
      </c>
      <c r="BQ9" s="56">
        <f t="shared" si="33"/>
        <v>2.6619170742569765E-5</v>
      </c>
      <c r="BR9" s="56">
        <f t="shared" si="33"/>
        <v>7.0133770233182369E-6</v>
      </c>
    </row>
    <row r="10" spans="1:70" ht="19.5" customHeight="1">
      <c r="A10" s="37"/>
      <c r="B10" s="238" t="s">
        <v>110</v>
      </c>
      <c r="C10" s="38"/>
      <c r="D10" s="39">
        <v>215.52687577431999</v>
      </c>
      <c r="E10" s="40"/>
      <c r="F10" s="41">
        <v>174.58441231465201</v>
      </c>
      <c r="G10" s="42"/>
      <c r="H10" s="43">
        <v>104184.77509417701</v>
      </c>
      <c r="I10" s="43">
        <v>434896.910900396</v>
      </c>
      <c r="J10" s="44">
        <f t="shared" si="0"/>
        <v>0.23956200304682859</v>
      </c>
      <c r="K10" s="45"/>
      <c r="L10" s="43">
        <v>5135.9583115701498</v>
      </c>
      <c r="M10" s="43">
        <v>364737.94843206799</v>
      </c>
      <c r="N10" s="44">
        <f t="shared" si="1"/>
        <v>1.4081228272650428E-2</v>
      </c>
      <c r="O10" s="45"/>
      <c r="P10" s="39">
        <v>7370.9821935748096</v>
      </c>
      <c r="Q10" s="39">
        <v>235409.794365801</v>
      </c>
      <c r="R10" s="46">
        <f t="shared" si="2"/>
        <v>3.1311280881207139E-2</v>
      </c>
      <c r="S10" s="47"/>
      <c r="T10" s="43">
        <v>5519.1355016980297</v>
      </c>
      <c r="U10" s="39">
        <v>2419.7086643517</v>
      </c>
      <c r="V10" s="27">
        <f t="shared" si="3"/>
        <v>2.2809090957967633</v>
      </c>
      <c r="W10" s="47"/>
      <c r="X10" s="39">
        <v>22794.964170523901</v>
      </c>
      <c r="Y10" s="39">
        <v>297425.83443564601</v>
      </c>
      <c r="Z10" s="27">
        <f t="shared" si="4"/>
        <v>7.6640834558895865E-2</v>
      </c>
      <c r="AA10" s="27"/>
      <c r="AB10" s="27"/>
      <c r="AC10" s="238" t="s">
        <v>110</v>
      </c>
      <c r="AD10" s="49">
        <v>39</v>
      </c>
      <c r="AE10" s="50">
        <f t="shared" si="5"/>
        <v>16.271559691387449</v>
      </c>
      <c r="AF10" s="50">
        <f t="shared" si="6"/>
        <v>0.1549537333345348</v>
      </c>
      <c r="AG10" s="50">
        <f t="shared" si="7"/>
        <v>1.2880821440381092E-3</v>
      </c>
      <c r="AH10" s="51">
        <f t="shared" si="8"/>
        <v>0.10427306575657566</v>
      </c>
      <c r="AI10" s="50">
        <f t="shared" si="9"/>
        <v>9.0788748812132124E-3</v>
      </c>
      <c r="AJ10" s="31"/>
      <c r="AK10" s="31"/>
      <c r="AL10" s="39">
        <f t="shared" si="10"/>
        <v>509.30991373767586</v>
      </c>
      <c r="AM10" s="52">
        <f t="shared" si="11"/>
        <v>783.88619972064055</v>
      </c>
      <c r="AN10" s="33"/>
      <c r="AO10" s="53">
        <f t="shared" si="12"/>
        <v>153.91143556737978</v>
      </c>
      <c r="AP10" s="48">
        <f t="shared" si="13"/>
        <v>3.1948248507426946</v>
      </c>
      <c r="AQ10" s="54">
        <f t="shared" si="14"/>
        <v>3.0424252337319501E-2</v>
      </c>
      <c r="AR10" s="50">
        <f t="shared" si="15"/>
        <v>2.5290733781034276E-4</v>
      </c>
      <c r="AS10" s="50">
        <f t="shared" si="16"/>
        <v>2.0473401939370521E-2</v>
      </c>
      <c r="AT10" s="50">
        <f t="shared" si="17"/>
        <v>3.7434255128926578E-6</v>
      </c>
      <c r="AU10" s="39">
        <f t="shared" si="18"/>
        <v>157.1366846704598</v>
      </c>
      <c r="AV10" s="31"/>
      <c r="AW10" s="238" t="s">
        <v>110</v>
      </c>
      <c r="AX10" s="48">
        <f t="shared" si="19"/>
        <v>97.947488131212722</v>
      </c>
      <c r="AY10" s="48">
        <f t="shared" si="20"/>
        <v>2.0331502204229022</v>
      </c>
      <c r="AZ10" s="50">
        <f t="shared" si="21"/>
        <v>4.2696154628880951E-3</v>
      </c>
      <c r="BA10" s="54">
        <f t="shared" si="22"/>
        <v>1.9361648364367566E-2</v>
      </c>
      <c r="BB10" s="50">
        <f t="shared" si="23"/>
        <v>4.0659461565171891E-5</v>
      </c>
      <c r="BC10" s="50">
        <f t="shared" si="24"/>
        <v>1.6094735506271433E-4</v>
      </c>
      <c r="BD10" s="50">
        <f t="shared" si="25"/>
        <v>3.379894456317001E-7</v>
      </c>
      <c r="BE10" s="50">
        <f t="shared" si="26"/>
        <v>2.7360984586663219E-5</v>
      </c>
      <c r="BF10" s="50">
        <f t="shared" si="27"/>
        <v>2.382273446040437E-6</v>
      </c>
      <c r="BG10" s="31"/>
      <c r="BH10" s="31"/>
      <c r="BI10" s="68" t="s">
        <v>32</v>
      </c>
      <c r="BJ10" s="55">
        <f t="shared" ref="BJ10:BR10" si="34">AVERAGE(AX22:AX24)</f>
        <v>97.183043648077287</v>
      </c>
      <c r="BK10" s="55">
        <f t="shared" si="34"/>
        <v>2.7947149419772153</v>
      </c>
      <c r="BL10" s="56">
        <f t="shared" si="34"/>
        <v>5.8689013781521512E-3</v>
      </c>
      <c r="BM10" s="56">
        <f t="shared" si="34"/>
        <v>2.2241409945483005E-2</v>
      </c>
      <c r="BN10" s="56">
        <f t="shared" si="34"/>
        <v>4.6706960885514314E-5</v>
      </c>
      <c r="BO10" s="56">
        <f t="shared" si="34"/>
        <v>1.7066617057586654E-4</v>
      </c>
      <c r="BP10" s="56">
        <f t="shared" si="34"/>
        <v>3.5839895820931969E-7</v>
      </c>
      <c r="BQ10" s="56">
        <f t="shared" si="34"/>
        <v>3.0013836260777066E-5</v>
      </c>
      <c r="BR10" s="56">
        <f t="shared" si="34"/>
        <v>3.1686998927484284E-6</v>
      </c>
    </row>
    <row r="11" spans="1:70" ht="19.5" customHeight="1">
      <c r="A11" s="37"/>
      <c r="B11" s="238" t="s">
        <v>110</v>
      </c>
      <c r="C11" s="38"/>
      <c r="D11" s="39">
        <v>311.58461368678599</v>
      </c>
      <c r="E11" s="40"/>
      <c r="F11" s="41">
        <v>185.69292039688199</v>
      </c>
      <c r="G11" s="42"/>
      <c r="H11" s="43">
        <v>136113.93637939901</v>
      </c>
      <c r="I11" s="43">
        <v>446684.54901057598</v>
      </c>
      <c r="J11" s="44">
        <f t="shared" si="0"/>
        <v>0.30472049387178668</v>
      </c>
      <c r="K11" s="45"/>
      <c r="L11" s="43">
        <v>6341.2938175794798</v>
      </c>
      <c r="M11" s="43">
        <v>353954.75519601698</v>
      </c>
      <c r="N11" s="44">
        <f t="shared" si="1"/>
        <v>1.7915549161269858E-2</v>
      </c>
      <c r="O11" s="45"/>
      <c r="P11" s="39">
        <v>8310.4291405353306</v>
      </c>
      <c r="Q11" s="39">
        <v>229867.131919609</v>
      </c>
      <c r="R11" s="46">
        <f t="shared" si="2"/>
        <v>3.6153185847560498E-2</v>
      </c>
      <c r="S11" s="47"/>
      <c r="T11" s="43">
        <v>6838.9115169100096</v>
      </c>
      <c r="U11" s="39">
        <v>4067.9335741527798</v>
      </c>
      <c r="V11" s="27">
        <f t="shared" si="3"/>
        <v>1.6811758088587609</v>
      </c>
      <c r="W11" s="47"/>
      <c r="X11" s="39">
        <v>54188.700058482602</v>
      </c>
      <c r="Y11" s="39">
        <v>328072.36874718103</v>
      </c>
      <c r="Z11" s="27">
        <f t="shared" si="4"/>
        <v>0.16517300821588382</v>
      </c>
      <c r="AA11" s="27"/>
      <c r="AB11" s="27"/>
      <c r="AC11" s="238" t="s">
        <v>110</v>
      </c>
      <c r="AD11" s="49">
        <v>39</v>
      </c>
      <c r="AE11" s="50">
        <f t="shared" si="5"/>
        <v>20.690425834925499</v>
      </c>
      <c r="AF11" s="50">
        <f t="shared" si="6"/>
        <v>0.18788621040954973</v>
      </c>
      <c r="AG11" s="50">
        <f t="shared" si="7"/>
        <v>1.4749725229987025E-3</v>
      </c>
      <c r="AH11" s="51">
        <f t="shared" si="8"/>
        <v>7.7001544305480632E-2</v>
      </c>
      <c r="AI11" s="50">
        <f t="shared" si="9"/>
        <v>1.9380899105100324E-2</v>
      </c>
      <c r="AJ11" s="31"/>
      <c r="AK11" s="31"/>
      <c r="AL11" s="39">
        <f t="shared" si="10"/>
        <v>736.4670060784423</v>
      </c>
      <c r="AM11" s="52">
        <f t="shared" si="11"/>
        <v>833.75550789523265</v>
      </c>
      <c r="AN11" s="33"/>
      <c r="AO11" s="53">
        <f t="shared" si="12"/>
        <v>113.21016434053639</v>
      </c>
      <c r="AP11" s="48">
        <f t="shared" si="13"/>
        <v>2.809416533823883</v>
      </c>
      <c r="AQ11" s="54">
        <f t="shared" si="14"/>
        <v>2.5511829974571552E-2</v>
      </c>
      <c r="AR11" s="50">
        <f t="shared" si="15"/>
        <v>2.0027679594944415E-4</v>
      </c>
      <c r="AS11" s="50">
        <f t="shared" si="16"/>
        <v>1.045553211073234E-2</v>
      </c>
      <c r="AT11" s="50">
        <f t="shared" si="17"/>
        <v>5.5263695161892518E-6</v>
      </c>
      <c r="AU11" s="39">
        <f t="shared" si="18"/>
        <v>116.04509270433485</v>
      </c>
      <c r="AV11" s="31"/>
      <c r="AW11" s="238" t="s">
        <v>110</v>
      </c>
      <c r="AX11" s="48">
        <f t="shared" si="19"/>
        <v>97.557045888169156</v>
      </c>
      <c r="AY11" s="48">
        <f t="shared" si="20"/>
        <v>2.4209697009608555</v>
      </c>
      <c r="AZ11" s="50">
        <f t="shared" si="21"/>
        <v>5.0840363720177969E-3</v>
      </c>
      <c r="BA11" s="54">
        <f t="shared" si="22"/>
        <v>2.1984410869981201E-2</v>
      </c>
      <c r="BB11" s="50">
        <f t="shared" si="23"/>
        <v>4.616726282696052E-5</v>
      </c>
      <c r="BC11" s="50">
        <f t="shared" si="24"/>
        <v>1.7258532117313982E-4</v>
      </c>
      <c r="BD11" s="50">
        <f t="shared" si="25"/>
        <v>3.6242917446359359E-7</v>
      </c>
      <c r="BE11" s="50">
        <f t="shared" si="26"/>
        <v>1.8920763403998492E-5</v>
      </c>
      <c r="BF11" s="50">
        <f t="shared" si="27"/>
        <v>4.7622604173961895E-6</v>
      </c>
      <c r="BG11" s="31"/>
      <c r="BH11" s="31"/>
      <c r="BI11" s="68" t="s">
        <v>113</v>
      </c>
      <c r="BJ11" s="55">
        <f t="shared" ref="BJ11:BR11" si="35">AVERAGE(AX25:AX27)</f>
        <v>97.638996456624383</v>
      </c>
      <c r="BK11" s="55">
        <f t="shared" si="35"/>
        <v>2.3346409682414149</v>
      </c>
      <c r="BL11" s="56">
        <f t="shared" si="35"/>
        <v>4.9027460333069713E-3</v>
      </c>
      <c r="BM11" s="56">
        <f t="shared" si="35"/>
        <v>2.6362575134201777E-2</v>
      </c>
      <c r="BN11" s="56">
        <f t="shared" si="35"/>
        <v>5.5361407781823724E-5</v>
      </c>
      <c r="BO11" s="56">
        <f t="shared" si="35"/>
        <v>1.4869475330317491E-4</v>
      </c>
      <c r="BP11" s="56">
        <f t="shared" si="35"/>
        <v>3.1225898193666732E-7</v>
      </c>
      <c r="BQ11" s="56">
        <f t="shared" si="35"/>
        <v>2.6187880656799026E-5</v>
      </c>
      <c r="BR11" s="56">
        <f t="shared" si="35"/>
        <v>3.9571916303374913E-6</v>
      </c>
    </row>
    <row r="12" spans="1:70" ht="19.5" customHeight="1">
      <c r="A12" s="37"/>
      <c r="B12" s="238" t="s">
        <v>110</v>
      </c>
      <c r="C12" s="38"/>
      <c r="D12" s="39">
        <v>364.92692441777803</v>
      </c>
      <c r="E12" s="40"/>
      <c r="F12" s="41">
        <v>193.585341577343</v>
      </c>
      <c r="G12" s="42"/>
      <c r="H12" s="43">
        <v>163393.49987694199</v>
      </c>
      <c r="I12" s="43">
        <v>454652.97586597601</v>
      </c>
      <c r="J12" s="44">
        <f t="shared" si="0"/>
        <v>0.35938068933943945</v>
      </c>
      <c r="K12" s="45"/>
      <c r="L12" s="43">
        <v>6917.4509627404204</v>
      </c>
      <c r="M12" s="43">
        <v>329412.26241523598</v>
      </c>
      <c r="N12" s="44">
        <f t="shared" si="1"/>
        <v>2.0999372980295205E-2</v>
      </c>
      <c r="O12" s="45"/>
      <c r="P12" s="39">
        <v>5597.7986609406198</v>
      </c>
      <c r="Q12" s="39">
        <v>205159.49759951301</v>
      </c>
      <c r="R12" s="46">
        <f t="shared" si="2"/>
        <v>2.7285106107385531E-2</v>
      </c>
      <c r="S12" s="47"/>
      <c r="T12" s="43">
        <v>7605.9392102368602</v>
      </c>
      <c r="U12" s="39">
        <v>5208.3906415052297</v>
      </c>
      <c r="V12" s="27">
        <f t="shared" si="3"/>
        <v>1.4603242601708417</v>
      </c>
      <c r="W12" s="47"/>
      <c r="X12" s="39">
        <v>52814.599745223102</v>
      </c>
      <c r="Y12" s="39">
        <v>332274.05825398798</v>
      </c>
      <c r="Z12" s="27">
        <f t="shared" si="4"/>
        <v>0.15894891109691142</v>
      </c>
      <c r="AA12" s="27"/>
      <c r="AB12" s="27"/>
      <c r="AC12" s="238" t="s">
        <v>110</v>
      </c>
      <c r="AD12" s="49">
        <v>39</v>
      </c>
      <c r="AE12" s="50">
        <f t="shared" si="5"/>
        <v>24.397327024519438</v>
      </c>
      <c r="AF12" s="50">
        <f t="shared" si="6"/>
        <v>0.21437276700549596</v>
      </c>
      <c r="AG12" s="50">
        <f t="shared" si="7"/>
        <v>1.1326777454656594E-3</v>
      </c>
      <c r="AH12" s="51">
        <f t="shared" si="8"/>
        <v>6.6958817182060551E-2</v>
      </c>
      <c r="AI12" s="50">
        <f t="shared" si="9"/>
        <v>1.8656633602031219E-2</v>
      </c>
      <c r="AJ12" s="31"/>
      <c r="AK12" s="31"/>
      <c r="AL12" s="39">
        <f t="shared" si="10"/>
        <v>862.61076573507387</v>
      </c>
      <c r="AM12" s="52">
        <f t="shared" si="11"/>
        <v>869.18687106106609</v>
      </c>
      <c r="AN12" s="33"/>
      <c r="AO12" s="53">
        <f t="shared" si="12"/>
        <v>100.76234909036737</v>
      </c>
      <c r="AP12" s="48">
        <f t="shared" si="13"/>
        <v>2.8283123737424321</v>
      </c>
      <c r="AQ12" s="54">
        <f t="shared" si="14"/>
        <v>2.4851622020137687E-2</v>
      </c>
      <c r="AR12" s="50">
        <f t="shared" si="15"/>
        <v>1.3130809288015876E-4</v>
      </c>
      <c r="AS12" s="50">
        <f t="shared" si="16"/>
        <v>7.7623442509440034E-3</v>
      </c>
      <c r="AT12" s="50">
        <f t="shared" si="17"/>
        <v>4.5419014137713934E-6</v>
      </c>
      <c r="AU12" s="39">
        <f t="shared" si="18"/>
        <v>103.61551308612994</v>
      </c>
      <c r="AV12" s="31"/>
      <c r="AW12" s="238" t="s">
        <v>110</v>
      </c>
      <c r="AX12" s="48">
        <f t="shared" si="19"/>
        <v>97.246393024767542</v>
      </c>
      <c r="AY12" s="48">
        <f t="shared" si="20"/>
        <v>2.7296225145277329</v>
      </c>
      <c r="AZ12" s="50">
        <f t="shared" si="21"/>
        <v>5.7322072805082386E-3</v>
      </c>
      <c r="BA12" s="54">
        <f t="shared" si="22"/>
        <v>2.3984460704720816E-2</v>
      </c>
      <c r="BB12" s="50">
        <f t="shared" si="23"/>
        <v>5.0367367479913707E-5</v>
      </c>
      <c r="BC12" s="50">
        <f t="shared" si="24"/>
        <v>1.2672628737649496E-4</v>
      </c>
      <c r="BD12" s="50">
        <f t="shared" si="25"/>
        <v>2.6612520349063942E-7</v>
      </c>
      <c r="BE12" s="50">
        <f t="shared" si="26"/>
        <v>1.5732125857864872E-5</v>
      </c>
      <c r="BF12" s="50">
        <f t="shared" si="27"/>
        <v>4.3834183497175349E-6</v>
      </c>
      <c r="BG12" s="31"/>
      <c r="BH12" s="31"/>
      <c r="BI12" s="68" t="s">
        <v>114</v>
      </c>
      <c r="BJ12" s="55">
        <f t="shared" ref="BJ12:BR12" si="36">AVERAGE(AX28:AX30)</f>
        <v>95.935512408762861</v>
      </c>
      <c r="BK12" s="55">
        <f t="shared" si="36"/>
        <v>4.0416248271587518</v>
      </c>
      <c r="BL12" s="56">
        <f t="shared" si="36"/>
        <v>8.4874121370333774E-3</v>
      </c>
      <c r="BM12" s="56">
        <f t="shared" si="36"/>
        <v>2.286276407839297E-2</v>
      </c>
      <c r="BN12" s="56">
        <f t="shared" si="36"/>
        <v>4.8011804564625228E-5</v>
      </c>
      <c r="BO12" s="56">
        <f t="shared" si="36"/>
        <v>1.3911504056496421E-4</v>
      </c>
      <c r="BP12" s="56">
        <f t="shared" si="36"/>
        <v>2.921415851864248E-7</v>
      </c>
      <c r="BQ12" s="56">
        <f t="shared" si="36"/>
        <v>1.9446361526183823E-5</v>
      </c>
      <c r="BR12" s="56">
        <f t="shared" si="36"/>
        <v>6.0490467181118002E-6</v>
      </c>
    </row>
    <row r="13" spans="1:70" ht="19.5" customHeight="1">
      <c r="A13" s="37"/>
      <c r="B13" s="238" t="s">
        <v>111</v>
      </c>
      <c r="C13" s="38"/>
      <c r="D13" s="39">
        <v>272.05749744809799</v>
      </c>
      <c r="E13" s="40"/>
      <c r="F13" s="41">
        <v>153.967320610998</v>
      </c>
      <c r="G13" s="42"/>
      <c r="H13" s="43">
        <v>133931.77395268501</v>
      </c>
      <c r="I13" s="43">
        <v>402360.12055585301</v>
      </c>
      <c r="J13" s="44">
        <f t="shared" si="0"/>
        <v>0.33286542853118933</v>
      </c>
      <c r="K13" s="45"/>
      <c r="L13" s="43">
        <v>4323.8642140930897</v>
      </c>
      <c r="M13" s="43">
        <v>313776.63644329499</v>
      </c>
      <c r="N13" s="44">
        <f t="shared" si="1"/>
        <v>1.3780070635929864E-2</v>
      </c>
      <c r="O13" s="45"/>
      <c r="P13" s="39">
        <v>3725.9962336502099</v>
      </c>
      <c r="Q13" s="39">
        <v>203968.236507833</v>
      </c>
      <c r="R13" s="46">
        <f t="shared" si="2"/>
        <v>1.8267531736526635E-2</v>
      </c>
      <c r="S13" s="47"/>
      <c r="T13" s="43">
        <v>10035.889803751699</v>
      </c>
      <c r="U13" s="39">
        <v>2444.2188473645901</v>
      </c>
      <c r="V13" s="27">
        <f t="shared" si="3"/>
        <v>4.1059702221724592</v>
      </c>
      <c r="W13" s="47"/>
      <c r="X13" s="39">
        <v>37846.066502878501</v>
      </c>
      <c r="Y13" s="39">
        <v>257913.98235090301</v>
      </c>
      <c r="Z13" s="27">
        <f t="shared" si="4"/>
        <v>0.14673910331618745</v>
      </c>
      <c r="AA13" s="27"/>
      <c r="AB13" s="27"/>
      <c r="AC13" s="238" t="s">
        <v>111</v>
      </c>
      <c r="AD13" s="49">
        <v>39</v>
      </c>
      <c r="AE13" s="50">
        <f t="shared" si="5"/>
        <v>22.599136385214784</v>
      </c>
      <c r="AF13" s="50">
        <f t="shared" si="6"/>
        <v>0.15236713005970126</v>
      </c>
      <c r="AG13" s="50">
        <f t="shared" si="7"/>
        <v>7.8461269603028795E-4</v>
      </c>
      <c r="AH13" s="51">
        <f t="shared" si="8"/>
        <v>0.18726361295736782</v>
      </c>
      <c r="AI13" s="50">
        <f t="shared" si="9"/>
        <v>1.7235842376308329E-2</v>
      </c>
      <c r="AJ13" s="31"/>
      <c r="AK13" s="31"/>
      <c r="AL13" s="39">
        <f t="shared" si="10"/>
        <v>642.99338293755625</v>
      </c>
      <c r="AM13" s="52">
        <f t="shared" si="11"/>
        <v>691.33010737930556</v>
      </c>
      <c r="AN13" s="33"/>
      <c r="AO13" s="53">
        <f t="shared" si="12"/>
        <v>107.51745285790034</v>
      </c>
      <c r="AP13" s="48">
        <f t="shared" si="13"/>
        <v>3.5146763535837939</v>
      </c>
      <c r="AQ13" s="54">
        <f t="shared" si="14"/>
        <v>2.3696531582269528E-2</v>
      </c>
      <c r="AR13" s="50">
        <f t="shared" si="15"/>
        <v>1.220250031883275E-4</v>
      </c>
      <c r="AS13" s="50">
        <f t="shared" si="16"/>
        <v>2.9123723186985542E-2</v>
      </c>
      <c r="AT13" s="50">
        <f t="shared" si="17"/>
        <v>5.6291821892298643E-6</v>
      </c>
      <c r="AU13" s="39">
        <f t="shared" si="18"/>
        <v>111.05582574306641</v>
      </c>
      <c r="AV13" s="31"/>
      <c r="AW13" s="238" t="s">
        <v>111</v>
      </c>
      <c r="AX13" s="48">
        <f t="shared" si="19"/>
        <v>96.813879090546507</v>
      </c>
      <c r="AY13" s="48">
        <f t="shared" si="20"/>
        <v>3.1647834141679212</v>
      </c>
      <c r="AZ13" s="50">
        <f t="shared" si="21"/>
        <v>6.6460451697526336E-3</v>
      </c>
      <c r="BA13" s="54">
        <f t="shared" si="22"/>
        <v>2.1337495285562707E-2</v>
      </c>
      <c r="BB13" s="50">
        <f t="shared" si="23"/>
        <v>4.4808740099681683E-5</v>
      </c>
      <c r="BC13" s="50">
        <f t="shared" si="24"/>
        <v>1.0987717426966764E-4</v>
      </c>
      <c r="BD13" s="50">
        <f t="shared" si="25"/>
        <v>2.3074206596630206E-7</v>
      </c>
      <c r="BE13" s="50">
        <f t="shared" si="26"/>
        <v>5.5071238526618272E-5</v>
      </c>
      <c r="BF13" s="50">
        <f t="shared" si="27"/>
        <v>5.0687860376215457E-6</v>
      </c>
      <c r="BG13" s="31"/>
      <c r="BH13" s="31"/>
      <c r="BI13" s="68" t="s">
        <v>33</v>
      </c>
      <c r="BJ13" s="55">
        <f t="shared" ref="BJ13:BR13" si="37">AVERAGE(AX31:AX33)</f>
        <v>95.866760223960753</v>
      </c>
      <c r="BK13" s="55">
        <f t="shared" si="37"/>
        <v>4.1000263826382657</v>
      </c>
      <c r="BL13" s="56">
        <f t="shared" si="37"/>
        <v>8.6100554035403575E-3</v>
      </c>
      <c r="BM13" s="56">
        <f t="shared" si="37"/>
        <v>3.3213393400987494E-2</v>
      </c>
      <c r="BN13" s="56">
        <f t="shared" si="37"/>
        <v>6.9748126142073739E-5</v>
      </c>
      <c r="BO13" s="56">
        <f t="shared" si="37"/>
        <v>2.0643223115216871E-4</v>
      </c>
      <c r="BP13" s="56">
        <f t="shared" si="37"/>
        <v>4.3350768541955431E-7</v>
      </c>
      <c r="BQ13" s="56">
        <f t="shared" si="37"/>
        <v>2.473430779667482E-5</v>
      </c>
      <c r="BR13" s="56">
        <f t="shared" si="37"/>
        <v>5.7449662971484689E-6</v>
      </c>
    </row>
    <row r="14" spans="1:70" ht="19.5" customHeight="1">
      <c r="A14" s="37"/>
      <c r="B14" s="238" t="s">
        <v>111</v>
      </c>
      <c r="C14" s="38"/>
      <c r="D14" s="39">
        <v>277.46216010984102</v>
      </c>
      <c r="E14" s="40"/>
      <c r="F14" s="41">
        <v>158.72069371049901</v>
      </c>
      <c r="G14" s="42"/>
      <c r="H14" s="43">
        <v>131970.75826765501</v>
      </c>
      <c r="I14" s="43">
        <v>393356.422900729</v>
      </c>
      <c r="J14" s="44">
        <f t="shared" si="0"/>
        <v>0.33549918238137005</v>
      </c>
      <c r="K14" s="45"/>
      <c r="L14" s="43">
        <v>5637.8843287662403</v>
      </c>
      <c r="M14" s="43">
        <v>314050.69874618202</v>
      </c>
      <c r="N14" s="44">
        <f t="shared" si="1"/>
        <v>1.7952147061843726E-2</v>
      </c>
      <c r="O14" s="45"/>
      <c r="P14" s="39">
        <v>6960.8008838523201</v>
      </c>
      <c r="Q14" s="39">
        <v>232312.19321349499</v>
      </c>
      <c r="R14" s="46">
        <f t="shared" si="2"/>
        <v>2.9963131885442369E-2</v>
      </c>
      <c r="S14" s="47"/>
      <c r="T14" s="43">
        <v>8206.4756187605999</v>
      </c>
      <c r="U14" s="39">
        <v>2945.08315007705</v>
      </c>
      <c r="V14" s="27">
        <f t="shared" si="3"/>
        <v>2.7865004825231843</v>
      </c>
      <c r="W14" s="47"/>
      <c r="X14" s="39">
        <v>16050.7103512837</v>
      </c>
      <c r="Y14" s="39">
        <v>260093.726616753</v>
      </c>
      <c r="Z14" s="27">
        <f t="shared" si="4"/>
        <v>6.1711255246591754E-2</v>
      </c>
      <c r="AA14" s="27"/>
      <c r="AB14" s="27"/>
      <c r="AC14" s="238" t="s">
        <v>111</v>
      </c>
      <c r="AD14" s="49">
        <v>39</v>
      </c>
      <c r="AE14" s="50">
        <f t="shared" si="5"/>
        <v>22.777750186296235</v>
      </c>
      <c r="AF14" s="50">
        <f t="shared" si="6"/>
        <v>0.18820054495708846</v>
      </c>
      <c r="AG14" s="50">
        <f t="shared" si="7"/>
        <v>1.2360455843648656E-3</v>
      </c>
      <c r="AH14" s="51">
        <f t="shared" si="8"/>
        <v>0.1272636961732993</v>
      </c>
      <c r="AI14" s="50">
        <f t="shared" si="9"/>
        <v>7.3415981221029297E-3</v>
      </c>
      <c r="AJ14" s="31"/>
      <c r="AK14" s="31"/>
      <c r="AL14" s="39">
        <f t="shared" si="10"/>
        <v>655.77431534347045</v>
      </c>
      <c r="AM14" s="52">
        <f t="shared" si="11"/>
        <v>712.66937510212688</v>
      </c>
      <c r="AN14" s="33"/>
      <c r="AO14" s="53">
        <f t="shared" si="12"/>
        <v>108.67601222363473</v>
      </c>
      <c r="AP14" s="48">
        <f t="shared" si="13"/>
        <v>3.4734129796416449</v>
      </c>
      <c r="AQ14" s="54">
        <f t="shared" si="14"/>
        <v>2.8698980816062602E-2</v>
      </c>
      <c r="AR14" s="50">
        <f t="shared" si="15"/>
        <v>1.8848642824894268E-4</v>
      </c>
      <c r="AS14" s="50">
        <f t="shared" si="16"/>
        <v>1.9406630176822839E-2</v>
      </c>
      <c r="AT14" s="50">
        <f t="shared" si="17"/>
        <v>2.3510155392928296E-6</v>
      </c>
      <c r="AU14" s="39">
        <f t="shared" si="18"/>
        <v>112.17812418409244</v>
      </c>
      <c r="AV14" s="31"/>
      <c r="AW14" s="238" t="s">
        <v>111</v>
      </c>
      <c r="AX14" s="48">
        <f t="shared" si="19"/>
        <v>96.878079406364037</v>
      </c>
      <c r="AY14" s="48">
        <f t="shared" si="20"/>
        <v>3.0963371913239714</v>
      </c>
      <c r="AZ14" s="50">
        <f t="shared" si="21"/>
        <v>6.5023081017803403E-3</v>
      </c>
      <c r="BA14" s="54">
        <f t="shared" si="22"/>
        <v>2.5583402311992215E-2</v>
      </c>
      <c r="BB14" s="50">
        <f t="shared" si="23"/>
        <v>5.3725144855183646E-5</v>
      </c>
      <c r="BC14" s="50">
        <f t="shared" si="24"/>
        <v>1.6802422898391737E-4</v>
      </c>
      <c r="BD14" s="50">
        <f t="shared" si="25"/>
        <v>3.5285088086622645E-7</v>
      </c>
      <c r="BE14" s="50">
        <f t="shared" si="26"/>
        <v>3.6329653101034039E-5</v>
      </c>
      <c r="BF14" s="50">
        <f t="shared" si="27"/>
        <v>2.0957878876942554E-6</v>
      </c>
      <c r="BG14" s="31"/>
      <c r="BH14" s="31"/>
      <c r="BI14" s="68" t="s">
        <v>34</v>
      </c>
      <c r="BJ14" s="55">
        <f t="shared" ref="BJ14:BQ14" si="38">AVERAGE(AX34:AX36)</f>
        <v>95.277262322190651</v>
      </c>
      <c r="BK14" s="55">
        <f t="shared" si="38"/>
        <v>4.6993010031185056</v>
      </c>
      <c r="BL14" s="56">
        <f t="shared" si="38"/>
        <v>9.8685321065488611E-3</v>
      </c>
      <c r="BM14" s="56">
        <f t="shared" si="38"/>
        <v>2.3436674690850007E-2</v>
      </c>
      <c r="BN14" s="56">
        <f t="shared" si="38"/>
        <v>4.9217016850785016E-5</v>
      </c>
      <c r="BO14" s="56">
        <f t="shared" si="38"/>
        <v>1.5311572306682048E-4</v>
      </c>
      <c r="BP14" s="56">
        <f t="shared" si="38"/>
        <v>3.2154301844032293E-7</v>
      </c>
      <c r="BQ14" s="56">
        <f t="shared" si="38"/>
        <v>2.5153122162045255E-5</v>
      </c>
      <c r="BR14" s="56">
        <f>AVERAGE(BF35:BF36)</f>
        <v>3.6612951382975618E-6</v>
      </c>
    </row>
    <row r="15" spans="1:70" ht="19.5" customHeight="1">
      <c r="A15" s="37"/>
      <c r="B15" s="238" t="s">
        <v>111</v>
      </c>
      <c r="C15" s="38"/>
      <c r="D15" s="39">
        <v>383.85654832685799</v>
      </c>
      <c r="E15" s="40"/>
      <c r="F15" s="41">
        <v>198.685955070636</v>
      </c>
      <c r="G15" s="42"/>
      <c r="H15" s="43">
        <v>184462.92306478301</v>
      </c>
      <c r="I15" s="43">
        <v>488141.85615170898</v>
      </c>
      <c r="J15" s="44">
        <f t="shared" si="0"/>
        <v>0.37788794535876474</v>
      </c>
      <c r="K15" s="45"/>
      <c r="L15" s="43">
        <v>2855.18923640091</v>
      </c>
      <c r="M15" s="43">
        <v>307991.40079366998</v>
      </c>
      <c r="N15" s="44">
        <f t="shared" si="1"/>
        <v>9.2703537470309513E-3</v>
      </c>
      <c r="O15" s="45"/>
      <c r="P15" s="39">
        <v>6435.0904022859104</v>
      </c>
      <c r="Q15" s="39">
        <v>218290.47619697099</v>
      </c>
      <c r="R15" s="46">
        <f t="shared" si="2"/>
        <v>2.9479483092424551E-2</v>
      </c>
      <c r="S15" s="47"/>
      <c r="T15" s="43">
        <v>7349.9550649218399</v>
      </c>
      <c r="U15" s="39">
        <v>6348.1029450214201</v>
      </c>
      <c r="V15" s="27">
        <f t="shared" si="3"/>
        <v>1.1578191356657401</v>
      </c>
      <c r="W15" s="47"/>
      <c r="X15" s="39">
        <v>29670.656133383101</v>
      </c>
      <c r="Y15" s="39">
        <v>340328.10030713701</v>
      </c>
      <c r="Z15" s="27">
        <f t="shared" si="4"/>
        <v>8.7182504490831425E-2</v>
      </c>
      <c r="AA15" s="27"/>
      <c r="AB15" s="27"/>
      <c r="AC15" s="238" t="s">
        <v>111</v>
      </c>
      <c r="AD15" s="49">
        <v>39</v>
      </c>
      <c r="AE15" s="50">
        <f t="shared" si="5"/>
        <v>25.652437233460343</v>
      </c>
      <c r="AF15" s="50">
        <f t="shared" si="6"/>
        <v>0.11363376569802799</v>
      </c>
      <c r="AG15" s="50">
        <f t="shared" si="7"/>
        <v>1.2173774554282068E-3</v>
      </c>
      <c r="AH15" s="51">
        <f t="shared" si="8"/>
        <v>5.3203077469617541E-2</v>
      </c>
      <c r="AI15" s="50">
        <f t="shared" si="9"/>
        <v>1.0305553663774095E-2</v>
      </c>
      <c r="AJ15" s="31"/>
      <c r="AK15" s="31"/>
      <c r="AL15" s="39">
        <f t="shared" si="10"/>
        <v>907.37549182314069</v>
      </c>
      <c r="AM15" s="52">
        <f t="shared" si="11"/>
        <v>892.08500142147068</v>
      </c>
      <c r="AN15" s="33"/>
      <c r="AO15" s="53">
        <f t="shared" si="12"/>
        <v>98.314866277581771</v>
      </c>
      <c r="AP15" s="48">
        <f t="shared" si="13"/>
        <v>2.8271027225915355</v>
      </c>
      <c r="AQ15" s="54">
        <f t="shared" si="14"/>
        <v>1.2523345265774127E-2</v>
      </c>
      <c r="AR15" s="50">
        <f t="shared" si="15"/>
        <v>1.3416468335310621E-4</v>
      </c>
      <c r="AS15" s="50">
        <f t="shared" si="16"/>
        <v>5.8634025217850511E-3</v>
      </c>
      <c r="AT15" s="50">
        <f t="shared" si="17"/>
        <v>2.3850834510024259E-6</v>
      </c>
      <c r="AU15" s="39">
        <f t="shared" si="18"/>
        <v>101.15449234543908</v>
      </c>
      <c r="AV15" s="31"/>
      <c r="AW15" s="238" t="s">
        <v>111</v>
      </c>
      <c r="AX15" s="48">
        <f t="shared" si="19"/>
        <v>97.192783037099247</v>
      </c>
      <c r="AY15" s="48">
        <f t="shared" si="20"/>
        <v>2.794836548570752</v>
      </c>
      <c r="AZ15" s="50">
        <f t="shared" si="21"/>
        <v>5.8691567519985792E-3</v>
      </c>
      <c r="BA15" s="54">
        <f t="shared" si="22"/>
        <v>1.2380414330000625E-2</v>
      </c>
      <c r="BB15" s="50">
        <f t="shared" si="23"/>
        <v>2.5998870093001311E-5</v>
      </c>
      <c r="BC15" s="50">
        <f t="shared" si="24"/>
        <v>1.3263344043578257E-4</v>
      </c>
      <c r="BD15" s="50">
        <f t="shared" si="25"/>
        <v>2.7853022491514341E-7</v>
      </c>
      <c r="BE15" s="50">
        <f t="shared" si="26"/>
        <v>1.2172613405739454E-5</v>
      </c>
      <c r="BF15" s="50">
        <f t="shared" si="27"/>
        <v>2.3578621133873609E-6</v>
      </c>
      <c r="BG15" s="31"/>
      <c r="BH15" s="31"/>
      <c r="BI15" s="68" t="s">
        <v>115</v>
      </c>
      <c r="BJ15" s="55">
        <f t="shared" ref="BJ15:BR15" si="39">AVERAGE(AX37:AX39)</f>
        <v>95.610865186667581</v>
      </c>
      <c r="BK15" s="55">
        <f t="shared" si="39"/>
        <v>4.3632505225398317</v>
      </c>
      <c r="BL15" s="56">
        <f t="shared" si="39"/>
        <v>9.1628260973336453E-3</v>
      </c>
      <c r="BM15" s="56">
        <f t="shared" si="39"/>
        <v>2.5884290792585803E-2</v>
      </c>
      <c r="BN15" s="56">
        <f t="shared" si="39"/>
        <v>5.435701066443019E-5</v>
      </c>
      <c r="BO15" s="56">
        <f t="shared" si="39"/>
        <v>1.5299458956058009E-4</v>
      </c>
      <c r="BP15" s="56">
        <f t="shared" si="39"/>
        <v>3.2128863807721819E-7</v>
      </c>
      <c r="BQ15" s="56">
        <f t="shared" si="39"/>
        <v>2.366463813735482E-5</v>
      </c>
      <c r="BR15" s="56">
        <f t="shared" si="39"/>
        <v>6.4702494983196585E-6</v>
      </c>
    </row>
    <row r="16" spans="1:70" ht="19.5" customHeight="1">
      <c r="A16" s="37"/>
      <c r="B16" s="249" t="s">
        <v>112</v>
      </c>
      <c r="C16" s="38"/>
      <c r="D16" s="39">
        <v>260.73718441430702</v>
      </c>
      <c r="E16" s="40"/>
      <c r="F16" s="41">
        <v>150.23919736745299</v>
      </c>
      <c r="G16" s="42"/>
      <c r="H16" s="43">
        <v>125047.907152495</v>
      </c>
      <c r="I16" s="43">
        <v>415473.22088730201</v>
      </c>
      <c r="J16" s="44">
        <f t="shared" si="0"/>
        <v>0.30097705668114411</v>
      </c>
      <c r="K16" s="45"/>
      <c r="L16" s="43">
        <v>5444.2551741000598</v>
      </c>
      <c r="M16" s="43">
        <v>324375.50373309298</v>
      </c>
      <c r="N16" s="44">
        <f t="shared" si="1"/>
        <v>1.6783804915736718E-2</v>
      </c>
      <c r="O16" s="45"/>
      <c r="P16" s="39">
        <v>6214.5916694881798</v>
      </c>
      <c r="Q16" s="39">
        <v>229949.24092072801</v>
      </c>
      <c r="R16" s="46">
        <f t="shared" si="2"/>
        <v>2.702592817703877E-2</v>
      </c>
      <c r="S16" s="47"/>
      <c r="T16" s="43">
        <v>9548.3529502036508</v>
      </c>
      <c r="U16" s="39">
        <v>3221.51750529231</v>
      </c>
      <c r="V16" s="27">
        <f t="shared" si="3"/>
        <v>2.9639301771657651</v>
      </c>
      <c r="W16" s="47"/>
      <c r="X16" s="39">
        <v>52992.298186468797</v>
      </c>
      <c r="Y16" s="39">
        <v>277483.69365799602</v>
      </c>
      <c r="Z16" s="27">
        <f t="shared" si="4"/>
        <v>0.19097445867137267</v>
      </c>
      <c r="AA16" s="27"/>
      <c r="AB16" s="27"/>
      <c r="AC16" s="245" t="s">
        <v>112</v>
      </c>
      <c r="AD16" s="49">
        <v>39</v>
      </c>
      <c r="AE16" s="50">
        <f t="shared" si="5"/>
        <v>20.436556421242646</v>
      </c>
      <c r="AF16" s="50">
        <f t="shared" si="6"/>
        <v>0.17816580815228852</v>
      </c>
      <c r="AG16" s="50">
        <f t="shared" si="7"/>
        <v>1.1226738602268277E-3</v>
      </c>
      <c r="AH16" s="51">
        <f t="shared" si="8"/>
        <v>0.13533191221015003</v>
      </c>
      <c r="AI16" s="50">
        <f t="shared" si="9"/>
        <v>2.2383278428053825E-2</v>
      </c>
      <c r="AJ16" s="31"/>
      <c r="AK16" s="31"/>
      <c r="AL16" s="39">
        <f t="shared" si="10"/>
        <v>616.22313569847847</v>
      </c>
      <c r="AM16" s="52">
        <f t="shared" si="11"/>
        <v>674.59348302174521</v>
      </c>
      <c r="AN16" s="33"/>
      <c r="AO16" s="53">
        <f t="shared" si="12"/>
        <v>109.47227456124395</v>
      </c>
      <c r="AP16" s="48">
        <f t="shared" si="13"/>
        <v>3.3164214774374146</v>
      </c>
      <c r="AQ16" s="54">
        <f t="shared" si="14"/>
        <v>2.8912547717044181E-2</v>
      </c>
      <c r="AR16" s="50">
        <f t="shared" si="15"/>
        <v>1.8218625611229216E-4</v>
      </c>
      <c r="AS16" s="50">
        <f t="shared" si="16"/>
        <v>2.1961511077761404E-2</v>
      </c>
      <c r="AT16" s="50">
        <f t="shared" si="17"/>
        <v>7.6279000212534681E-6</v>
      </c>
      <c r="AU16" s="39">
        <f t="shared" si="18"/>
        <v>112.81760858639841</v>
      </c>
      <c r="AV16" s="31"/>
      <c r="AW16" s="239" t="s">
        <v>112</v>
      </c>
      <c r="AX16" s="48">
        <f t="shared" si="19"/>
        <v>97.034741236699304</v>
      </c>
      <c r="AY16" s="48">
        <f t="shared" si="20"/>
        <v>2.9396310726597439</v>
      </c>
      <c r="AZ16" s="50">
        <f t="shared" si="21"/>
        <v>6.1732252525854613E-3</v>
      </c>
      <c r="BA16" s="54">
        <f t="shared" si="22"/>
        <v>2.5627690640953684E-2</v>
      </c>
      <c r="BB16" s="50">
        <f t="shared" si="23"/>
        <v>5.3818150346002736E-5</v>
      </c>
      <c r="BC16" s="50">
        <f t="shared" si="24"/>
        <v>1.6148742948470635E-4</v>
      </c>
      <c r="BD16" s="50">
        <f t="shared" si="25"/>
        <v>3.3912360191788336E-7</v>
      </c>
      <c r="BE16" s="50">
        <f t="shared" si="26"/>
        <v>4.0879410440596061E-5</v>
      </c>
      <c r="BF16" s="50">
        <f t="shared" si="27"/>
        <v>6.7612672497058292E-6</v>
      </c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</row>
    <row r="17" spans="1:70" ht="19.5" customHeight="1">
      <c r="A17" s="37"/>
      <c r="B17" s="250" t="s">
        <v>112</v>
      </c>
      <c r="C17" s="38"/>
      <c r="D17" s="39">
        <v>265.24517968999902</v>
      </c>
      <c r="E17" s="40"/>
      <c r="F17" s="41">
        <v>180.239491538702</v>
      </c>
      <c r="G17" s="42"/>
      <c r="H17" s="43">
        <v>121771.04995556</v>
      </c>
      <c r="I17" s="43">
        <v>445239.62204772502</v>
      </c>
      <c r="J17" s="44">
        <f t="shared" si="0"/>
        <v>0.27349553796563825</v>
      </c>
      <c r="K17" s="45"/>
      <c r="L17" s="43">
        <v>6529.18976640234</v>
      </c>
      <c r="M17" s="43">
        <v>361853.87324062502</v>
      </c>
      <c r="N17" s="44">
        <f t="shared" si="1"/>
        <v>1.8043719438262221E-2</v>
      </c>
      <c r="O17" s="45"/>
      <c r="P17" s="39">
        <v>5394.2769849972601</v>
      </c>
      <c r="Q17" s="39">
        <v>217590.46752646999</v>
      </c>
      <c r="R17" s="46">
        <f t="shared" si="2"/>
        <v>2.479096187585076E-2</v>
      </c>
      <c r="S17" s="47"/>
      <c r="T17" s="43">
        <v>7894.7461151751604</v>
      </c>
      <c r="U17" s="39">
        <v>2584.63073724388</v>
      </c>
      <c r="V17" s="27">
        <f t="shared" si="3"/>
        <v>3.0544967222643646</v>
      </c>
      <c r="W17" s="47"/>
      <c r="X17" s="39">
        <v>60161.708275156503</v>
      </c>
      <c r="Y17" s="39">
        <v>306873.45710079803</v>
      </c>
      <c r="Z17" s="27">
        <f t="shared" si="4"/>
        <v>0.19604728556042997</v>
      </c>
      <c r="AA17" s="27"/>
      <c r="AB17" s="27"/>
      <c r="AC17" s="246" t="s">
        <v>112</v>
      </c>
      <c r="AD17" s="49">
        <v>39</v>
      </c>
      <c r="AE17" s="50">
        <f t="shared" si="5"/>
        <v>18.572836880052151</v>
      </c>
      <c r="AF17" s="50">
        <f t="shared" si="6"/>
        <v>0.18898704803669708</v>
      </c>
      <c r="AG17" s="50">
        <f t="shared" si="7"/>
        <v>1.0364074626218031E-3</v>
      </c>
      <c r="AH17" s="51">
        <f t="shared" si="8"/>
        <v>0.13945022201752838</v>
      </c>
      <c r="AI17" s="50">
        <f t="shared" si="9"/>
        <v>2.2973576659035183E-2</v>
      </c>
      <c r="AJ17" s="31"/>
      <c r="AK17" s="31"/>
      <c r="AL17" s="39">
        <f t="shared" si="10"/>
        <v>626.88363136875205</v>
      </c>
      <c r="AM17" s="52">
        <f t="shared" si="11"/>
        <v>809.27348723830585</v>
      </c>
      <c r="AN17" s="33"/>
      <c r="AO17" s="53">
        <f t="shared" si="12"/>
        <v>129.09469106272874</v>
      </c>
      <c r="AP17" s="48">
        <f t="shared" si="13"/>
        <v>2.9627248105840303</v>
      </c>
      <c r="AQ17" s="54">
        <f t="shared" si="14"/>
        <v>3.0147070138688808E-2</v>
      </c>
      <c r="AR17" s="50">
        <f t="shared" si="15"/>
        <v>1.6532693003307286E-4</v>
      </c>
      <c r="AS17" s="50">
        <f t="shared" si="16"/>
        <v>2.2244993335214316E-2</v>
      </c>
      <c r="AT17" s="50">
        <f t="shared" si="17"/>
        <v>7.6959276921357349E-6</v>
      </c>
      <c r="AU17" s="39">
        <f t="shared" si="18"/>
        <v>132.08756294345147</v>
      </c>
      <c r="AV17" s="31"/>
      <c r="AW17" s="239" t="s">
        <v>112</v>
      </c>
      <c r="AX17" s="48">
        <f t="shared" si="19"/>
        <v>97.734175864835947</v>
      </c>
      <c r="AY17" s="48">
        <f t="shared" si="20"/>
        <v>2.2430005857950563</v>
      </c>
      <c r="AZ17" s="50">
        <f t="shared" si="21"/>
        <v>4.7103012301696187E-3</v>
      </c>
      <c r="BA17" s="54">
        <f t="shared" si="22"/>
        <v>2.2823549368985778E-2</v>
      </c>
      <c r="BB17" s="50">
        <f t="shared" si="23"/>
        <v>4.7929453674870127E-5</v>
      </c>
      <c r="BC17" s="50">
        <f t="shared" si="24"/>
        <v>1.2516464559487076E-4</v>
      </c>
      <c r="BD17" s="50">
        <f t="shared" si="25"/>
        <v>2.6284575574922855E-7</v>
      </c>
      <c r="BE17" s="50">
        <f t="shared" si="26"/>
        <v>3.5366301688788961E-5</v>
      </c>
      <c r="BF17" s="50">
        <f t="shared" si="27"/>
        <v>5.8263832874488485E-6</v>
      </c>
      <c r="BG17" s="31"/>
      <c r="BH17" s="31"/>
      <c r="BI17" s="31" t="s">
        <v>35</v>
      </c>
      <c r="BJ17" s="31" t="s">
        <v>16</v>
      </c>
      <c r="BK17" s="31" t="s">
        <v>2</v>
      </c>
      <c r="BL17" s="31" t="s">
        <v>2</v>
      </c>
      <c r="BM17" s="31" t="s">
        <v>5</v>
      </c>
      <c r="BN17" s="31" t="s">
        <v>5</v>
      </c>
      <c r="BO17" s="31" t="s">
        <v>7</v>
      </c>
      <c r="BP17" s="31" t="s">
        <v>7</v>
      </c>
      <c r="BQ17" s="31" t="s">
        <v>9</v>
      </c>
      <c r="BR17" s="31" t="s">
        <v>19</v>
      </c>
    </row>
    <row r="18" spans="1:70" ht="19.5" customHeight="1">
      <c r="A18" s="37"/>
      <c r="B18" s="248" t="s">
        <v>112</v>
      </c>
      <c r="C18" s="38"/>
      <c r="D18" s="39">
        <v>334.01357439576799</v>
      </c>
      <c r="E18" s="40"/>
      <c r="F18" s="41">
        <v>281.78532216552099</v>
      </c>
      <c r="G18" s="42"/>
      <c r="H18" s="43">
        <v>64189.864905003997</v>
      </c>
      <c r="I18" s="43">
        <v>470197.33132152399</v>
      </c>
      <c r="J18" s="44">
        <f t="shared" si="0"/>
        <v>0.13651686351471559</v>
      </c>
      <c r="K18" s="45"/>
      <c r="L18" s="43">
        <v>5299.01537024359</v>
      </c>
      <c r="M18" s="43">
        <v>394351.272540153</v>
      </c>
      <c r="N18" s="44">
        <f t="shared" si="1"/>
        <v>1.3437297504102873E-2</v>
      </c>
      <c r="O18" s="45"/>
      <c r="P18" s="39">
        <v>4105.4860297018004</v>
      </c>
      <c r="Q18" s="39">
        <v>170167.122500578</v>
      </c>
      <c r="R18" s="46">
        <f t="shared" si="2"/>
        <v>2.4126199993114741E-2</v>
      </c>
      <c r="S18" s="47"/>
      <c r="T18" s="43">
        <v>2296.6191538436501</v>
      </c>
      <c r="U18" s="39">
        <v>3197.1469486496298</v>
      </c>
      <c r="V18" s="27">
        <f t="shared" si="3"/>
        <v>0.71833393670368106</v>
      </c>
      <c r="W18" s="47"/>
      <c r="X18" s="39">
        <v>27748.431865109302</v>
      </c>
      <c r="Y18" s="39">
        <v>276159.35547445901</v>
      </c>
      <c r="Z18" s="27">
        <f t="shared" si="4"/>
        <v>0.10047978210781874</v>
      </c>
      <c r="AA18" s="27"/>
      <c r="AB18" s="27"/>
      <c r="AC18" s="247" t="s">
        <v>112</v>
      </c>
      <c r="AD18" s="49">
        <v>39</v>
      </c>
      <c r="AE18" s="50">
        <f t="shared" si="5"/>
        <v>9.2833272665781905</v>
      </c>
      <c r="AF18" s="50">
        <f t="shared" si="6"/>
        <v>0.14942309677878096</v>
      </c>
      <c r="AG18" s="50">
        <f t="shared" si="7"/>
        <v>1.0107486359727E-3</v>
      </c>
      <c r="AH18" s="51">
        <f t="shared" si="8"/>
        <v>3.3218477161494953E-2</v>
      </c>
      <c r="AI18" s="50">
        <f t="shared" si="9"/>
        <v>1.1852888044749644E-2</v>
      </c>
      <c r="AJ18" s="31"/>
      <c r="AK18" s="31"/>
      <c r="AL18" s="39">
        <f t="shared" si="10"/>
        <v>789.50695485925212</v>
      </c>
      <c r="AM18" s="52">
        <f t="shared" si="11"/>
        <v>1265.1421136900028</v>
      </c>
      <c r="AN18" s="33"/>
      <c r="AO18" s="53">
        <f t="shared" si="12"/>
        <v>160.24458124191491</v>
      </c>
      <c r="AP18" s="48">
        <f t="shared" si="13"/>
        <v>1.175838567278126</v>
      </c>
      <c r="AQ18" s="54">
        <f t="shared" si="14"/>
        <v>1.8926127991541135E-2</v>
      </c>
      <c r="AR18" s="50">
        <f t="shared" si="15"/>
        <v>1.2802276531596724E-4</v>
      </c>
      <c r="AS18" s="50">
        <f t="shared" si="16"/>
        <v>4.2074964580162463E-3</v>
      </c>
      <c r="AT18" s="50">
        <f t="shared" si="17"/>
        <v>3.1527353547394221E-6</v>
      </c>
      <c r="AU18" s="39">
        <f t="shared" si="18"/>
        <v>161.43934593718458</v>
      </c>
      <c r="AV18" s="31"/>
      <c r="AW18" s="239" t="s">
        <v>112</v>
      </c>
      <c r="AX18" s="48">
        <f t="shared" si="19"/>
        <v>99.259929673070815</v>
      </c>
      <c r="AY18" s="48">
        <f t="shared" si="20"/>
        <v>0.72834695931909943</v>
      </c>
      <c r="AZ18" s="50">
        <f t="shared" si="21"/>
        <v>1.5295286145701088E-3</v>
      </c>
      <c r="BA18" s="54">
        <f t="shared" si="22"/>
        <v>1.1723367610090057E-2</v>
      </c>
      <c r="BB18" s="50">
        <f t="shared" si="23"/>
        <v>2.4619071981189116E-5</v>
      </c>
      <c r="BC18" s="50">
        <f t="shared" si="24"/>
        <v>7.9300844891790133E-5</v>
      </c>
      <c r="BD18" s="50">
        <f t="shared" si="25"/>
        <v>1.6653177427275927E-7</v>
      </c>
      <c r="BE18" s="50">
        <f t="shared" si="26"/>
        <v>5.4731035427212821E-6</v>
      </c>
      <c r="BF18" s="50">
        <f t="shared" si="27"/>
        <v>1.9528915559197934E-6</v>
      </c>
      <c r="BG18" s="31"/>
      <c r="BH18" s="31"/>
      <c r="BI18" s="31"/>
      <c r="BJ18" s="31" t="s">
        <v>26</v>
      </c>
      <c r="BK18" s="31" t="s">
        <v>26</v>
      </c>
      <c r="BL18" s="31" t="s">
        <v>27</v>
      </c>
      <c r="BM18" s="31" t="s">
        <v>26</v>
      </c>
      <c r="BN18" s="31" t="s">
        <v>27</v>
      </c>
      <c r="BO18" s="31" t="s">
        <v>26</v>
      </c>
      <c r="BP18" s="31" t="s">
        <v>27</v>
      </c>
      <c r="BQ18" s="31" t="s">
        <v>27</v>
      </c>
      <c r="BR18" s="31" t="s">
        <v>27</v>
      </c>
    </row>
    <row r="19" spans="1:70" ht="19.5" customHeight="1">
      <c r="A19" s="37"/>
      <c r="B19" s="237" t="s">
        <v>31</v>
      </c>
      <c r="C19" s="38"/>
      <c r="D19" s="39">
        <v>217.99611180044201</v>
      </c>
      <c r="E19" s="40"/>
      <c r="F19" s="41">
        <v>139.58463421593001</v>
      </c>
      <c r="G19" s="42"/>
      <c r="H19" s="43">
        <v>109522.829342709</v>
      </c>
      <c r="I19" s="43">
        <v>404016.66529510601</v>
      </c>
      <c r="J19" s="44">
        <f t="shared" si="0"/>
        <v>0.27108492978305787</v>
      </c>
      <c r="K19" s="45"/>
      <c r="L19" s="43">
        <v>5953.5753697163</v>
      </c>
      <c r="M19" s="43">
        <v>318537.79728203802</v>
      </c>
      <c r="N19" s="44">
        <f t="shared" si="1"/>
        <v>1.8690326298843957E-2</v>
      </c>
      <c r="O19" s="45"/>
      <c r="P19" s="39">
        <v>2819.6815908567601</v>
      </c>
      <c r="Q19" s="39">
        <v>107671.710203297</v>
      </c>
      <c r="R19" s="46">
        <f t="shared" si="2"/>
        <v>2.6187766364376173E-2</v>
      </c>
      <c r="S19" s="47"/>
      <c r="T19" s="43">
        <v>4578.5663794472002</v>
      </c>
      <c r="U19" s="39">
        <v>2822.7113807112901</v>
      </c>
      <c r="V19" s="27">
        <f t="shared" si="3"/>
        <v>1.6220455306675581</v>
      </c>
      <c r="W19" s="47"/>
      <c r="X19" s="39">
        <v>39979.978940736997</v>
      </c>
      <c r="Y19" s="39">
        <v>228468.38341946001</v>
      </c>
      <c r="Z19" s="27">
        <f t="shared" si="4"/>
        <v>0.17499129788709164</v>
      </c>
      <c r="AA19" s="27"/>
      <c r="AB19" s="27"/>
      <c r="AC19" s="237" t="s">
        <v>31</v>
      </c>
      <c r="AD19" s="49">
        <v>39</v>
      </c>
      <c r="AE19" s="50">
        <f t="shared" si="5"/>
        <v>18.409356192447579</v>
      </c>
      <c r="AF19" s="50">
        <f t="shared" si="6"/>
        <v>0.19454066919445118</v>
      </c>
      <c r="AG19" s="50">
        <f t="shared" si="7"/>
        <v>1.0903220524389136E-3</v>
      </c>
      <c r="AH19" s="51">
        <f t="shared" si="8"/>
        <v>7.4312727984589461E-2</v>
      </c>
      <c r="AI19" s="50">
        <f t="shared" si="9"/>
        <v>2.0523401924717247E-2</v>
      </c>
      <c r="AJ19" s="31"/>
      <c r="AK19" s="31"/>
      <c r="AL19" s="39">
        <f t="shared" si="10"/>
        <v>515.14915676157545</v>
      </c>
      <c r="AM19" s="52">
        <f t="shared" si="11"/>
        <v>626.76206503691992</v>
      </c>
      <c r="AN19" s="33"/>
      <c r="AO19" s="53">
        <f t="shared" si="12"/>
        <v>121.66613432447136</v>
      </c>
      <c r="AP19" s="50">
        <f t="shared" si="13"/>
        <v>3.5735972680564649</v>
      </c>
      <c r="AQ19" s="54">
        <f t="shared" si="14"/>
        <v>3.7763949846566419E-2</v>
      </c>
      <c r="AR19" s="50">
        <f t="shared" si="15"/>
        <v>2.1165172030817149E-4</v>
      </c>
      <c r="AS19" s="50">
        <f t="shared" si="16"/>
        <v>1.4425477943465478E-2</v>
      </c>
      <c r="AT19" s="50">
        <f t="shared" si="17"/>
        <v>8.3663427332083614E-6</v>
      </c>
      <c r="AU19" s="39">
        <f t="shared" si="18"/>
        <v>125.27749554237438</v>
      </c>
      <c r="AV19" s="31"/>
      <c r="AW19" s="237" t="s">
        <v>31</v>
      </c>
      <c r="AX19" s="48">
        <f t="shared" si="19"/>
        <v>97.117310493582224</v>
      </c>
      <c r="AY19" s="48">
        <f t="shared" si="20"/>
        <v>2.8525452656799932</v>
      </c>
      <c r="AZ19" s="50">
        <f t="shared" si="21"/>
        <v>5.9903450579279855E-3</v>
      </c>
      <c r="BA19" s="54">
        <f t="shared" si="22"/>
        <v>3.0144240737789162E-2</v>
      </c>
      <c r="BB19" s="50">
        <f t="shared" si="23"/>
        <v>6.3302905549357245E-5</v>
      </c>
      <c r="BC19" s="50">
        <f t="shared" si="24"/>
        <v>1.6894632143774101E-4</v>
      </c>
      <c r="BD19" s="50">
        <f t="shared" si="25"/>
        <v>3.5478727501925611E-7</v>
      </c>
      <c r="BE19" s="50">
        <f t="shared" si="26"/>
        <v>2.4181121717133068E-5</v>
      </c>
      <c r="BF19" s="50">
        <f t="shared" si="27"/>
        <v>6.6782487125778268E-6</v>
      </c>
      <c r="BG19" s="31"/>
      <c r="BH19" s="31"/>
      <c r="BI19" s="31" t="s">
        <v>28</v>
      </c>
      <c r="BJ19" s="31">
        <f t="shared" ref="BJ19:BR19" si="40">_xlfn.STDEV.P(AX3)</f>
        <v>0</v>
      </c>
      <c r="BK19" s="31">
        <f t="shared" si="40"/>
        <v>0</v>
      </c>
      <c r="BL19" s="31">
        <f t="shared" si="40"/>
        <v>0</v>
      </c>
      <c r="BM19" s="31">
        <f t="shared" si="40"/>
        <v>0</v>
      </c>
      <c r="BN19" s="31">
        <f t="shared" si="40"/>
        <v>0</v>
      </c>
      <c r="BO19" s="31">
        <f t="shared" si="40"/>
        <v>0</v>
      </c>
      <c r="BP19" s="31">
        <f t="shared" si="40"/>
        <v>0</v>
      </c>
      <c r="BQ19" s="31">
        <f t="shared" si="40"/>
        <v>0</v>
      </c>
      <c r="BR19" s="31">
        <f t="shared" si="40"/>
        <v>0</v>
      </c>
    </row>
    <row r="20" spans="1:70" ht="19.5" customHeight="1">
      <c r="A20" s="37"/>
      <c r="B20" s="237" t="s">
        <v>31</v>
      </c>
      <c r="C20" s="38"/>
      <c r="D20" s="39">
        <v>174.129937291593</v>
      </c>
      <c r="E20" s="40"/>
      <c r="F20" s="41">
        <v>153.139894681442</v>
      </c>
      <c r="G20" s="42"/>
      <c r="H20" s="43">
        <v>116759.00474814999</v>
      </c>
      <c r="I20" s="43">
        <v>415216.70574850601</v>
      </c>
      <c r="J20" s="44">
        <f t="shared" si="0"/>
        <v>0.28120016158229949</v>
      </c>
      <c r="K20" s="45"/>
      <c r="L20" s="43">
        <v>6795.8647473191904</v>
      </c>
      <c r="M20" s="43">
        <v>347786.58922741801</v>
      </c>
      <c r="N20" s="44">
        <f t="shared" si="1"/>
        <v>1.9540330069700781E-2</v>
      </c>
      <c r="O20" s="45"/>
      <c r="P20" s="39">
        <v>7928.0500178631501</v>
      </c>
      <c r="Q20" s="39">
        <v>259402.09262736401</v>
      </c>
      <c r="R20" s="46">
        <f t="shared" si="2"/>
        <v>3.0562783582675036E-2</v>
      </c>
      <c r="S20" s="47"/>
      <c r="T20" s="43">
        <v>9717.0191360674507</v>
      </c>
      <c r="U20" s="39">
        <v>2430.7663565591702</v>
      </c>
      <c r="V20" s="27">
        <f t="shared" si="3"/>
        <v>3.9975125992043972</v>
      </c>
      <c r="W20" s="47"/>
      <c r="X20" s="39">
        <v>37628.580592053499</v>
      </c>
      <c r="Y20" s="39">
        <v>147949.382090812</v>
      </c>
      <c r="Z20" s="27">
        <f t="shared" si="4"/>
        <v>0.25433415172330293</v>
      </c>
      <c r="AA20" s="27"/>
      <c r="AB20" s="27"/>
      <c r="AC20" s="237" t="s">
        <v>31</v>
      </c>
      <c r="AD20" s="49">
        <v>39</v>
      </c>
      <c r="AE20" s="50">
        <f t="shared" si="5"/>
        <v>19.095342849992868</v>
      </c>
      <c r="AF20" s="50">
        <f t="shared" si="6"/>
        <v>0.20184123962414663</v>
      </c>
      <c r="AG20" s="50">
        <f t="shared" si="7"/>
        <v>1.2591912540380521E-3</v>
      </c>
      <c r="AH20" s="51">
        <f t="shared" si="8"/>
        <v>0.18233174664991364</v>
      </c>
      <c r="AI20" s="50">
        <f t="shared" si="9"/>
        <v>2.9756113248172542E-2</v>
      </c>
      <c r="AJ20" s="31"/>
      <c r="AK20" s="31"/>
      <c r="AL20" s="39">
        <f t="shared" si="10"/>
        <v>411.41453974797179</v>
      </c>
      <c r="AM20" s="52">
        <f t="shared" si="11"/>
        <v>687.61555288042689</v>
      </c>
      <c r="AN20" s="33"/>
      <c r="AO20" s="53">
        <f t="shared" si="12"/>
        <v>167.13448029854584</v>
      </c>
      <c r="AP20" s="48">
        <f t="shared" si="13"/>
        <v>4.6413874584234369</v>
      </c>
      <c r="AQ20" s="50">
        <f t="shared" si="14"/>
        <v>4.9060307821836444E-2</v>
      </c>
      <c r="AR20" s="50">
        <f t="shared" si="15"/>
        <v>3.0606386804156688E-4</v>
      </c>
      <c r="AS20" s="50">
        <f t="shared" si="16"/>
        <v>4.4318255441727496E-2</v>
      </c>
      <c r="AT20" s="50">
        <f t="shared" si="17"/>
        <v>1.5188534138691774E-5</v>
      </c>
      <c r="AU20" s="39">
        <f t="shared" si="18"/>
        <v>171.8249280647911</v>
      </c>
      <c r="AV20" s="31"/>
      <c r="AW20" s="237" t="s">
        <v>31</v>
      </c>
      <c r="AX20" s="48">
        <f t="shared" si="19"/>
        <v>97.270216947521959</v>
      </c>
      <c r="AY20" s="48">
        <f t="shared" si="20"/>
        <v>2.7012305552505627</v>
      </c>
      <c r="AZ20" s="50">
        <f t="shared" si="21"/>
        <v>5.672584166026182E-3</v>
      </c>
      <c r="BA20" s="54">
        <f t="shared" si="22"/>
        <v>2.8552497227490165E-2</v>
      </c>
      <c r="BB20" s="50">
        <f t="shared" si="23"/>
        <v>5.9960244177729341E-5</v>
      </c>
      <c r="BC20" s="50">
        <f t="shared" si="24"/>
        <v>1.7812541607825232E-4</v>
      </c>
      <c r="BD20" s="50">
        <f t="shared" si="25"/>
        <v>3.7406337376432982E-7</v>
      </c>
      <c r="BE20" s="50">
        <f t="shared" si="26"/>
        <v>5.416462993805758E-5</v>
      </c>
      <c r="BF20" s="50">
        <f t="shared" si="27"/>
        <v>8.8395405193852534E-6</v>
      </c>
      <c r="BG20" s="31"/>
      <c r="BH20" s="31"/>
      <c r="BI20" s="31" t="s">
        <v>29</v>
      </c>
      <c r="BJ20" s="31">
        <f t="shared" ref="BJ20:BR20" si="41">_xlfn.STDEV.P(AX4:AX6)</f>
        <v>0.12552110800573688</v>
      </c>
      <c r="BK20" s="31">
        <f t="shared" si="41"/>
        <v>0.12501627309445545</v>
      </c>
      <c r="BL20" s="31">
        <f t="shared" si="41"/>
        <v>2.6253417349835672E-4</v>
      </c>
      <c r="BM20" s="31">
        <f t="shared" si="41"/>
        <v>1.9962497685889879E-3</v>
      </c>
      <c r="BN20" s="31">
        <f t="shared" si="41"/>
        <v>4.1921245140368746E-6</v>
      </c>
      <c r="BO20" s="31">
        <f t="shared" si="41"/>
        <v>4.5652689059790627E-5</v>
      </c>
      <c r="BP20" s="31">
        <f t="shared" si="41"/>
        <v>9.5870647025560306E-8</v>
      </c>
      <c r="BQ20" s="31">
        <f t="shared" si="41"/>
        <v>3.0785327996498122E-6</v>
      </c>
      <c r="BR20" s="31">
        <f t="shared" si="41"/>
        <v>6.8669322160049755E-7</v>
      </c>
    </row>
    <row r="21" spans="1:70" ht="19.5" customHeight="1">
      <c r="A21" s="37"/>
      <c r="B21" s="237" t="s">
        <v>31</v>
      </c>
      <c r="C21" s="38"/>
      <c r="D21" s="39">
        <v>356.48438175683401</v>
      </c>
      <c r="E21" s="40"/>
      <c r="F21" s="41">
        <v>176.71891938482901</v>
      </c>
      <c r="G21" s="42"/>
      <c r="H21" s="43">
        <v>697131.37963667</v>
      </c>
      <c r="I21" s="43">
        <v>2183605.5942105101</v>
      </c>
      <c r="J21" s="44">
        <f t="shared" si="0"/>
        <v>0.31925700386782541</v>
      </c>
      <c r="K21" s="45"/>
      <c r="L21" s="43">
        <v>9002.3177365353404</v>
      </c>
      <c r="M21" s="43">
        <v>600218.63729878899</v>
      </c>
      <c r="N21" s="44">
        <f t="shared" si="1"/>
        <v>1.4998397545682982E-2</v>
      </c>
      <c r="O21" s="45"/>
      <c r="P21" s="39">
        <v>6713.9177540180499</v>
      </c>
      <c r="Q21" s="39">
        <v>253166.345410251</v>
      </c>
      <c r="R21" s="46">
        <f t="shared" si="2"/>
        <v>2.6519787782765043E-2</v>
      </c>
      <c r="S21" s="47"/>
      <c r="T21" s="43">
        <v>2883.58653396822</v>
      </c>
      <c r="U21" s="39">
        <v>24668.683771561002</v>
      </c>
      <c r="V21" s="27">
        <f t="shared" si="3"/>
        <v>0.11689259794608614</v>
      </c>
      <c r="W21" s="47"/>
      <c r="X21" s="39">
        <v>68576.3789776294</v>
      </c>
      <c r="Y21" s="39">
        <v>375003.66267343302</v>
      </c>
      <c r="Z21" s="27">
        <f t="shared" si="4"/>
        <v>0.1828685578395223</v>
      </c>
      <c r="AA21" s="27"/>
      <c r="AB21" s="27"/>
      <c r="AC21" s="237" t="s">
        <v>31</v>
      </c>
      <c r="AD21" s="49">
        <v>39</v>
      </c>
      <c r="AE21" s="50">
        <f t="shared" si="5"/>
        <v>21.676251182526915</v>
      </c>
      <c r="AF21" s="50">
        <f t="shared" si="6"/>
        <v>0.16283117941571762</v>
      </c>
      <c r="AG21" s="50">
        <f t="shared" si="7"/>
        <v>1.1031375887075783E-3</v>
      </c>
      <c r="AH21" s="51">
        <f t="shared" si="8"/>
        <v>5.8692858980814531E-3</v>
      </c>
      <c r="AI21" s="50">
        <f t="shared" si="9"/>
        <v>2.1440037307038404E-2</v>
      </c>
      <c r="AJ21" s="31"/>
      <c r="AK21" s="31"/>
      <c r="AL21" s="39">
        <f t="shared" si="10"/>
        <v>842.64586249562274</v>
      </c>
      <c r="AM21" s="52">
        <f t="shared" si="11"/>
        <v>793.46861979861501</v>
      </c>
      <c r="AN21" s="33"/>
      <c r="AO21" s="53">
        <f t="shared" si="12"/>
        <v>94.163948951062082</v>
      </c>
      <c r="AP21" s="48">
        <f t="shared" si="13"/>
        <v>2.5724034434025973</v>
      </c>
      <c r="AQ21" s="54">
        <f t="shared" si="14"/>
        <v>1.9323797417513989E-2</v>
      </c>
      <c r="AR21" s="50">
        <f t="shared" si="15"/>
        <v>1.3091354717395396E-4</v>
      </c>
      <c r="AS21" s="50">
        <f t="shared" si="16"/>
        <v>6.9653055444889728E-4</v>
      </c>
      <c r="AT21" s="50">
        <f t="shared" si="17"/>
        <v>5.3431791869760145E-6</v>
      </c>
      <c r="AU21" s="39">
        <f t="shared" si="18"/>
        <v>96.755676191882188</v>
      </c>
      <c r="AV21" s="31"/>
      <c r="AW21" s="237" t="s">
        <v>31</v>
      </c>
      <c r="AX21" s="48">
        <f t="shared" si="19"/>
        <v>97.321369305837635</v>
      </c>
      <c r="AY21" s="48">
        <f t="shared" si="20"/>
        <v>2.6586589486503143</v>
      </c>
      <c r="AZ21" s="50">
        <f t="shared" si="21"/>
        <v>5.5831837921656597E-3</v>
      </c>
      <c r="BA21" s="54">
        <f t="shared" si="22"/>
        <v>1.9971745512058402E-2</v>
      </c>
      <c r="BB21" s="50">
        <f t="shared" si="23"/>
        <v>4.1940665575322641E-5</v>
      </c>
      <c r="BC21" s="50">
        <f t="shared" si="24"/>
        <v>1.3530322181236291E-4</v>
      </c>
      <c r="BD21" s="50">
        <f t="shared" si="25"/>
        <v>2.8413676580596209E-7</v>
      </c>
      <c r="BE21" s="50">
        <f t="shared" si="26"/>
        <v>1.5117605725186448E-6</v>
      </c>
      <c r="BF21" s="50">
        <f t="shared" si="27"/>
        <v>5.5223418379916279E-6</v>
      </c>
      <c r="BG21" s="31"/>
      <c r="BH21" s="31"/>
      <c r="BI21" s="31" t="s">
        <v>30</v>
      </c>
      <c r="BJ21" s="31">
        <f t="shared" ref="BJ21:BR21" si="42">_xlfn.STDEV.P(AX7:AX9)</f>
        <v>0.81492403499335997</v>
      </c>
      <c r="BK21" s="31">
        <f t="shared" si="42"/>
        <v>0.81480854039412742</v>
      </c>
      <c r="BL21" s="31">
        <f t="shared" si="42"/>
        <v>1.7110979348276677E-3</v>
      </c>
      <c r="BM21" s="31">
        <f t="shared" si="42"/>
        <v>4.8399387712089864E-4</v>
      </c>
      <c r="BN21" s="31">
        <f t="shared" si="42"/>
        <v>1.0163871419538819E-6</v>
      </c>
      <c r="BO21" s="31">
        <f t="shared" si="42"/>
        <v>6.841552615886603E-5</v>
      </c>
      <c r="BP21" s="31">
        <f t="shared" si="42"/>
        <v>1.4367260493361868E-7</v>
      </c>
      <c r="BQ21" s="31">
        <f t="shared" si="42"/>
        <v>5.766849941948379E-6</v>
      </c>
      <c r="BR21" s="31">
        <f t="shared" si="42"/>
        <v>1.1508800598404314E-6</v>
      </c>
    </row>
    <row r="22" spans="1:70" ht="19.5" customHeight="1">
      <c r="A22" s="37"/>
      <c r="B22" s="237" t="s">
        <v>32</v>
      </c>
      <c r="C22" s="38"/>
      <c r="D22" s="39">
        <v>231.724641052923</v>
      </c>
      <c r="E22" s="40"/>
      <c r="F22" s="41">
        <v>111.36367975274599</v>
      </c>
      <c r="G22" s="42"/>
      <c r="H22" s="43">
        <v>142549.10780110501</v>
      </c>
      <c r="I22" s="43">
        <v>631481.51149636495</v>
      </c>
      <c r="J22" s="44">
        <f t="shared" si="0"/>
        <v>0.22573757933675559</v>
      </c>
      <c r="K22" s="45"/>
      <c r="L22" s="43">
        <v>4450.7800041084502</v>
      </c>
      <c r="M22" s="43">
        <v>400588.93999328301</v>
      </c>
      <c r="N22" s="44">
        <f t="shared" si="1"/>
        <v>1.1110591331311044E-2</v>
      </c>
      <c r="O22" s="45"/>
      <c r="P22" s="39">
        <v>5372.2720073106702</v>
      </c>
      <c r="Q22" s="39">
        <v>214628.11220084201</v>
      </c>
      <c r="R22" s="46">
        <f t="shared" si="2"/>
        <v>2.5030607371151235E-2</v>
      </c>
      <c r="S22" s="47"/>
      <c r="T22" s="43">
        <v>8104.4450334302801</v>
      </c>
      <c r="U22" s="39">
        <v>8195.6799391760596</v>
      </c>
      <c r="V22" s="27">
        <f t="shared" si="3"/>
        <v>0.9888679271978803</v>
      </c>
      <c r="W22" s="47"/>
      <c r="X22" s="39">
        <v>27024.2102754673</v>
      </c>
      <c r="Y22" s="39">
        <v>346251.91981271602</v>
      </c>
      <c r="Z22" s="27">
        <f t="shared" si="4"/>
        <v>7.8047827980518944E-2</v>
      </c>
      <c r="AA22" s="27"/>
      <c r="AB22" s="27"/>
      <c r="AC22" s="237" t="s">
        <v>32</v>
      </c>
      <c r="AD22" s="49">
        <v>39</v>
      </c>
      <c r="AE22" s="50">
        <f t="shared" si="5"/>
        <v>15.334026039012441</v>
      </c>
      <c r="AF22" s="50">
        <f t="shared" si="6"/>
        <v>0.12943932392263077</v>
      </c>
      <c r="AG22" s="50">
        <f t="shared" si="7"/>
        <v>1.0456574247222851E-3</v>
      </c>
      <c r="AH22" s="51">
        <f t="shared" si="8"/>
        <v>4.5520401509702074E-2</v>
      </c>
      <c r="AI22" s="50">
        <f t="shared" si="9"/>
        <v>9.2425993184846872E-3</v>
      </c>
      <c r="AJ22" s="31"/>
      <c r="AK22" s="31"/>
      <c r="AL22" s="39">
        <f t="shared" si="10"/>
        <v>547.61434754038135</v>
      </c>
      <c r="AM22" s="52">
        <f t="shared" si="11"/>
        <v>500.07003180547548</v>
      </c>
      <c r="AN22" s="33"/>
      <c r="AO22" s="53">
        <f t="shared" si="12"/>
        <v>91.317920001831226</v>
      </c>
      <c r="AP22" s="48">
        <f t="shared" si="13"/>
        <v>2.8001505270790412</v>
      </c>
      <c r="AQ22" s="54">
        <f t="shared" si="14"/>
        <v>2.3636948977690156E-2</v>
      </c>
      <c r="AR22" s="50">
        <f t="shared" si="15"/>
        <v>1.9094777728503138E-4</v>
      </c>
      <c r="AS22" s="50">
        <f t="shared" si="16"/>
        <v>8.3124924893143663E-3</v>
      </c>
      <c r="AT22" s="50">
        <f t="shared" si="17"/>
        <v>3.5443663329851999E-6</v>
      </c>
      <c r="AU22" s="39">
        <f t="shared" si="18"/>
        <v>94.141707477887962</v>
      </c>
      <c r="AV22" s="31"/>
      <c r="AW22" s="237" t="s">
        <v>32</v>
      </c>
      <c r="AX22" s="48">
        <f t="shared" si="19"/>
        <v>97.00049260661649</v>
      </c>
      <c r="AY22" s="48">
        <f t="shared" si="20"/>
        <v>2.9743995537118777</v>
      </c>
      <c r="AZ22" s="50">
        <f t="shared" si="21"/>
        <v>6.2462390627949435E-3</v>
      </c>
      <c r="BA22" s="54">
        <f t="shared" si="22"/>
        <v>2.5107839671637579E-2</v>
      </c>
      <c r="BB22" s="50">
        <f t="shared" si="23"/>
        <v>5.2726463310438913E-5</v>
      </c>
      <c r="BC22" s="50">
        <f t="shared" si="24"/>
        <v>2.028301614668305E-4</v>
      </c>
      <c r="BD22" s="50">
        <f t="shared" si="25"/>
        <v>4.2594333908034404E-7</v>
      </c>
      <c r="BE22" s="50">
        <f t="shared" si="26"/>
        <v>1.8542508623672771E-5</v>
      </c>
      <c r="BF22" s="50">
        <f t="shared" si="27"/>
        <v>3.7649267555697371E-6</v>
      </c>
      <c r="BG22" s="31"/>
      <c r="BH22" s="31"/>
      <c r="BI22" s="68" t="s">
        <v>110</v>
      </c>
      <c r="BJ22" s="31">
        <f t="shared" ref="BJ22:BR22" si="43">_xlfn.STDEV.P(AX10:AX12)</f>
        <v>0.28683806793959776</v>
      </c>
      <c r="BK22" s="31">
        <f t="shared" si="43"/>
        <v>0.28494525112790925</v>
      </c>
      <c r="BL22" s="31">
        <f t="shared" si="43"/>
        <v>5.9838502736860814E-4</v>
      </c>
      <c r="BM22" s="31">
        <f t="shared" si="43"/>
        <v>1.8929540828033532E-3</v>
      </c>
      <c r="BN22" s="31">
        <f t="shared" si="43"/>
        <v>3.9752035738870381E-6</v>
      </c>
      <c r="BO22" s="31">
        <f t="shared" si="43"/>
        <v>1.9463854561537148E-5</v>
      </c>
      <c r="BP22" s="31">
        <f t="shared" si="43"/>
        <v>4.0874094579228006E-8</v>
      </c>
      <c r="BQ22" s="31">
        <f t="shared" si="43"/>
        <v>4.9061763607752049E-6</v>
      </c>
      <c r="BR22" s="31">
        <f t="shared" si="43"/>
        <v>1.0441604932820427E-6</v>
      </c>
    </row>
    <row r="23" spans="1:70" ht="19.5" customHeight="1">
      <c r="A23" s="37"/>
      <c r="B23" s="237" t="s">
        <v>32</v>
      </c>
      <c r="C23" s="38"/>
      <c r="D23" s="39">
        <v>300.593775979425</v>
      </c>
      <c r="E23" s="40"/>
      <c r="F23" s="41">
        <v>164.210733590811</v>
      </c>
      <c r="G23" s="42"/>
      <c r="H23" s="43">
        <v>140778.10399070501</v>
      </c>
      <c r="I23" s="43">
        <v>422873.132373531</v>
      </c>
      <c r="J23" s="44">
        <f t="shared" si="0"/>
        <v>0.33290860358173174</v>
      </c>
      <c r="K23" s="45"/>
      <c r="L23" s="43">
        <v>6410.8381767627197</v>
      </c>
      <c r="M23" s="43">
        <v>336291.85512789799</v>
      </c>
      <c r="N23" s="44">
        <f t="shared" si="1"/>
        <v>1.9063316815462451E-2</v>
      </c>
      <c r="O23" s="45"/>
      <c r="P23" s="39">
        <v>6452.6649143429604</v>
      </c>
      <c r="Q23" s="39">
        <v>246676.837526635</v>
      </c>
      <c r="R23" s="46">
        <f t="shared" si="2"/>
        <v>2.6158373761566617E-2</v>
      </c>
      <c r="S23" s="47"/>
      <c r="T23" s="43">
        <v>10080.9296641621</v>
      </c>
      <c r="U23" s="39">
        <v>2082.15137599845</v>
      </c>
      <c r="V23" s="27">
        <f t="shared" si="3"/>
        <v>4.8415930658874462</v>
      </c>
      <c r="W23" s="47"/>
      <c r="X23" s="39">
        <v>27844.700255485299</v>
      </c>
      <c r="Y23" s="39">
        <v>287711.60492056102</v>
      </c>
      <c r="Z23" s="27">
        <f t="shared" si="4"/>
        <v>9.6779899660889235E-2</v>
      </c>
      <c r="AA23" s="27"/>
      <c r="AB23" s="27"/>
      <c r="AC23" s="237" t="s">
        <v>32</v>
      </c>
      <c r="AD23" s="49">
        <v>39</v>
      </c>
      <c r="AE23" s="50">
        <f t="shared" si="5"/>
        <v>22.602064396079861</v>
      </c>
      <c r="AF23" s="50">
        <f t="shared" si="6"/>
        <v>0.19774423561326473</v>
      </c>
      <c r="AG23" s="50">
        <f t="shared" si="7"/>
        <v>1.089187541390909E-3</v>
      </c>
      <c r="AH23" s="51">
        <f t="shared" si="8"/>
        <v>0.22071440616698779</v>
      </c>
      <c r="AI23" s="50">
        <f t="shared" si="9"/>
        <v>1.1422352150064832E-2</v>
      </c>
      <c r="AJ23" s="31"/>
      <c r="AK23" s="31"/>
      <c r="AL23" s="39">
        <f t="shared" si="10"/>
        <v>710.47590124659121</v>
      </c>
      <c r="AM23" s="52">
        <f t="shared" si="11"/>
        <v>737.31575323458242</v>
      </c>
      <c r="AN23" s="33"/>
      <c r="AO23" s="53">
        <f t="shared" si="12"/>
        <v>103.7777286943721</v>
      </c>
      <c r="AP23" s="48">
        <f t="shared" si="13"/>
        <v>3.1812570076511517</v>
      </c>
      <c r="AQ23" s="54">
        <f t="shared" si="14"/>
        <v>2.7832645029381778E-2</v>
      </c>
      <c r="AR23" s="50">
        <f t="shared" si="15"/>
        <v>1.5330393887812881E-4</v>
      </c>
      <c r="AS23" s="50">
        <f t="shared" si="16"/>
        <v>3.1065713246533112E-2</v>
      </c>
      <c r="AT23" s="50">
        <f t="shared" si="17"/>
        <v>3.3761791882101835E-6</v>
      </c>
      <c r="AU23" s="39">
        <f t="shared" si="18"/>
        <v>106.98681834705263</v>
      </c>
      <c r="AV23" s="31"/>
      <c r="AW23" s="237" t="s">
        <v>32</v>
      </c>
      <c r="AX23" s="48">
        <f t="shared" si="19"/>
        <v>97.000481272122116</v>
      </c>
      <c r="AY23" s="48">
        <f t="shared" si="20"/>
        <v>2.9735037052242537</v>
      </c>
      <c r="AZ23" s="50">
        <f t="shared" si="21"/>
        <v>6.2443577809709319E-3</v>
      </c>
      <c r="BA23" s="54">
        <f t="shared" si="22"/>
        <v>2.6015022653628189E-2</v>
      </c>
      <c r="BB23" s="50">
        <f t="shared" si="23"/>
        <v>5.4631547572619191E-5</v>
      </c>
      <c r="BC23" s="50">
        <f t="shared" si="24"/>
        <v>1.4329236185043741E-4</v>
      </c>
      <c r="BD23" s="50">
        <f t="shared" si="25"/>
        <v>3.0091395988591851E-7</v>
      </c>
      <c r="BE23" s="50">
        <f t="shared" si="26"/>
        <v>6.0977603433439016E-5</v>
      </c>
      <c r="BF23" s="50">
        <f t="shared" si="27"/>
        <v>3.1556964122984345E-6</v>
      </c>
      <c r="BG23" s="31"/>
      <c r="BH23" s="31"/>
      <c r="BI23" s="68" t="s">
        <v>111</v>
      </c>
      <c r="BJ23" s="31">
        <f t="shared" ref="BJ23:BR23" si="44">_xlfn.STDEV.P(AX13:AX15)</f>
        <v>0.16557249384492012</v>
      </c>
      <c r="BK23" s="31">
        <f t="shared" si="44"/>
        <v>0.16070960918770297</v>
      </c>
      <c r="BL23" s="31">
        <f t="shared" si="44"/>
        <v>3.3749017929417599E-4</v>
      </c>
      <c r="BM23" s="31">
        <f t="shared" si="44"/>
        <v>5.5032911100156004E-3</v>
      </c>
      <c r="BN23" s="31">
        <f t="shared" si="44"/>
        <v>1.1556911331032762E-5</v>
      </c>
      <c r="BO23" s="31">
        <f t="shared" si="44"/>
        <v>2.3924500542386361E-5</v>
      </c>
      <c r="BP23" s="31">
        <f t="shared" si="44"/>
        <v>5.0241451139011343E-8</v>
      </c>
      <c r="BQ23" s="31">
        <f t="shared" si="44"/>
        <v>1.7559744456398639E-5</v>
      </c>
      <c r="BR23" s="31">
        <f t="shared" si="44"/>
        <v>1.3439787292558285E-6</v>
      </c>
    </row>
    <row r="24" spans="1:70" ht="19.5" customHeight="1">
      <c r="A24" s="37"/>
      <c r="B24" s="237" t="s">
        <v>32</v>
      </c>
      <c r="C24" s="38"/>
      <c r="D24" s="39">
        <v>283.96105591908099</v>
      </c>
      <c r="E24" s="40"/>
      <c r="F24" s="41">
        <v>159.91413682868</v>
      </c>
      <c r="G24" s="42"/>
      <c r="H24" s="43">
        <v>140748.149045267</v>
      </c>
      <c r="I24" s="43">
        <v>533027.47954884695</v>
      </c>
      <c r="J24" s="44">
        <f t="shared" si="0"/>
        <v>0.2640542081702727</v>
      </c>
      <c r="K24" s="45"/>
      <c r="L24" s="43">
        <v>3580.2917703866801</v>
      </c>
      <c r="M24" s="43">
        <v>380456.08486942301</v>
      </c>
      <c r="N24" s="44">
        <f t="shared" si="1"/>
        <v>9.4105257157747341E-3</v>
      </c>
      <c r="O24" s="45"/>
      <c r="P24" s="39">
        <v>6786.01224361198</v>
      </c>
      <c r="Q24" s="39">
        <v>229469.748997496</v>
      </c>
      <c r="R24" s="46">
        <f t="shared" si="2"/>
        <v>2.9572578839949966E-2</v>
      </c>
      <c r="S24" s="47"/>
      <c r="T24" s="43">
        <v>6407.8945211473401</v>
      </c>
      <c r="U24" s="39">
        <v>8021.6290274816602</v>
      </c>
      <c r="V24" s="27">
        <f t="shared" si="3"/>
        <v>0.79882708352558385</v>
      </c>
      <c r="W24" s="47"/>
      <c r="X24" s="39">
        <v>26567.944841308901</v>
      </c>
      <c r="Y24" s="39">
        <v>347296.91493564099</v>
      </c>
      <c r="Z24" s="27">
        <f t="shared" si="4"/>
        <v>7.6499225011060976E-2</v>
      </c>
      <c r="AA24" s="27"/>
      <c r="AB24" s="27"/>
      <c r="AC24" s="237" t="s">
        <v>32</v>
      </c>
      <c r="AD24" s="49">
        <v>39</v>
      </c>
      <c r="AE24" s="50">
        <f t="shared" si="5"/>
        <v>17.93255236679056</v>
      </c>
      <c r="AF24" s="50">
        <f t="shared" si="6"/>
        <v>0.1148376842748262</v>
      </c>
      <c r="AG24" s="50">
        <f t="shared" si="7"/>
        <v>1.220970813756292E-3</v>
      </c>
      <c r="AH24" s="51">
        <f t="shared" si="8"/>
        <v>3.6878721853643569E-2</v>
      </c>
      <c r="AI24" s="50">
        <f t="shared" si="9"/>
        <v>9.062396521630843E-3</v>
      </c>
      <c r="AJ24" s="31"/>
      <c r="AK24" s="31"/>
      <c r="AL24" s="39">
        <f t="shared" si="10"/>
        <v>671.14288749116997</v>
      </c>
      <c r="AM24" s="52">
        <f t="shared" si="11"/>
        <v>718.02708670559787</v>
      </c>
      <c r="AN24" s="33"/>
      <c r="AO24" s="53">
        <f t="shared" si="12"/>
        <v>106.98572540784687</v>
      </c>
      <c r="AP24" s="50">
        <f t="shared" si="13"/>
        <v>2.6719425477076957</v>
      </c>
      <c r="AQ24" s="50">
        <f t="shared" si="14"/>
        <v>1.7110765295316799E-2</v>
      </c>
      <c r="AR24" s="50">
        <f t="shared" si="15"/>
        <v>1.8192412324005385E-4</v>
      </c>
      <c r="AS24" s="50">
        <f t="shared" si="16"/>
        <v>5.4949136079653037E-3</v>
      </c>
      <c r="AT24" s="50">
        <f t="shared" si="17"/>
        <v>2.8356156416356503E-6</v>
      </c>
      <c r="AU24" s="39">
        <f t="shared" si="18"/>
        <v>109.67477872084989</v>
      </c>
      <c r="AV24" s="31"/>
      <c r="AW24" s="237" t="s">
        <v>32</v>
      </c>
      <c r="AX24" s="48">
        <f t="shared" si="19"/>
        <v>97.548157065493299</v>
      </c>
      <c r="AY24" s="48">
        <f t="shared" si="20"/>
        <v>2.436241566995514</v>
      </c>
      <c r="AZ24" s="50">
        <f t="shared" si="21"/>
        <v>5.1161072906905792E-3</v>
      </c>
      <c r="BA24" s="54">
        <f t="shared" si="22"/>
        <v>1.5601367511183253E-2</v>
      </c>
      <c r="BB24" s="50">
        <f t="shared" si="23"/>
        <v>3.2762871773484831E-5</v>
      </c>
      <c r="BC24" s="50">
        <f t="shared" si="24"/>
        <v>1.6587598841033167E-4</v>
      </c>
      <c r="BD24" s="50">
        <f t="shared" si="25"/>
        <v>3.4833957566169648E-7</v>
      </c>
      <c r="BE24" s="50">
        <f t="shared" si="26"/>
        <v>1.0521396725219413E-5</v>
      </c>
      <c r="BF24" s="50">
        <f t="shared" si="27"/>
        <v>2.5854765103771132E-6</v>
      </c>
      <c r="BG24" s="31"/>
      <c r="BH24" s="31"/>
      <c r="BI24" s="68" t="s">
        <v>112</v>
      </c>
      <c r="BJ24" s="31">
        <f t="shared" ref="BJ24:BR24" si="45">_xlfn.STDEV.P(AX16:AX18)</f>
        <v>0.92907343686189325</v>
      </c>
      <c r="BK24" s="31">
        <f t="shared" si="45"/>
        <v>0.92311351615297721</v>
      </c>
      <c r="BL24" s="31">
        <f t="shared" si="45"/>
        <v>1.9385383839212521E-3</v>
      </c>
      <c r="BM24" s="31">
        <f t="shared" si="45"/>
        <v>6.0037714285853527E-3</v>
      </c>
      <c r="BN24" s="31">
        <f t="shared" si="45"/>
        <v>1.2607920000029231E-5</v>
      </c>
      <c r="BO24" s="31">
        <f t="shared" si="45"/>
        <v>3.3627811789066919E-5</v>
      </c>
      <c r="BP24" s="31">
        <f t="shared" si="45"/>
        <v>7.0618404757040541E-8</v>
      </c>
      <c r="BQ24" s="31">
        <f t="shared" si="45"/>
        <v>1.5554935735628567E-5</v>
      </c>
      <c r="BR24" s="31">
        <f t="shared" si="45"/>
        <v>2.0816239128169358E-6</v>
      </c>
    </row>
    <row r="25" spans="1:70" ht="19.5" customHeight="1">
      <c r="A25" s="37"/>
      <c r="B25" s="237" t="s">
        <v>113</v>
      </c>
      <c r="C25" s="38"/>
      <c r="D25" s="39">
        <v>279.64978352566101</v>
      </c>
      <c r="E25" s="40"/>
      <c r="F25" s="41">
        <v>169.54843780291301</v>
      </c>
      <c r="G25" s="42"/>
      <c r="H25" s="43">
        <v>126467.067681537</v>
      </c>
      <c r="I25" s="43">
        <v>454498.91972578398</v>
      </c>
      <c r="J25" s="44">
        <f t="shared" si="0"/>
        <v>0.27825603580716818</v>
      </c>
      <c r="K25" s="45"/>
      <c r="L25" s="43">
        <v>6877.6150053866904</v>
      </c>
      <c r="M25" s="43">
        <v>352560.35875290999</v>
      </c>
      <c r="N25" s="44">
        <f t="shared" si="1"/>
        <v>1.9507624253941803E-2</v>
      </c>
      <c r="O25" s="45"/>
      <c r="P25" s="39">
        <v>5462.7406673269497</v>
      </c>
      <c r="Q25" s="39">
        <v>245608.86914863999</v>
      </c>
      <c r="R25" s="46">
        <f t="shared" si="2"/>
        <v>2.2241626233867617E-2</v>
      </c>
      <c r="S25" s="47"/>
      <c r="T25" s="43">
        <v>9854.0639051569196</v>
      </c>
      <c r="U25" s="39">
        <v>2704.1880304680999</v>
      </c>
      <c r="V25" s="27">
        <f t="shared" si="3"/>
        <v>3.6440010066353126</v>
      </c>
      <c r="W25" s="47"/>
      <c r="X25" s="39">
        <v>47176.493982366999</v>
      </c>
      <c r="Y25" s="39">
        <v>316548.18744806002</v>
      </c>
      <c r="Z25" s="27">
        <f t="shared" si="4"/>
        <v>0.14903416242150441</v>
      </c>
      <c r="AA25" s="27"/>
      <c r="AB25" s="27"/>
      <c r="AC25" s="237" t="s">
        <v>113</v>
      </c>
      <c r="AD25" s="49">
        <v>39</v>
      </c>
      <c r="AE25" s="50">
        <f t="shared" si="5"/>
        <v>18.895680495243205</v>
      </c>
      <c r="AF25" s="50">
        <f t="shared" si="6"/>
        <v>0.20156033368043727</v>
      </c>
      <c r="AG25" s="50">
        <f t="shared" si="7"/>
        <v>9.380068728665668E-4</v>
      </c>
      <c r="AH25" s="51">
        <f t="shared" si="8"/>
        <v>0.16625660259849601</v>
      </c>
      <c r="AI25" s="50">
        <f t="shared" si="9"/>
        <v>1.7502906354538824E-2</v>
      </c>
      <c r="AJ25" s="31"/>
      <c r="AK25" s="31"/>
      <c r="AL25" s="39">
        <f t="shared" si="10"/>
        <v>660.94760158853148</v>
      </c>
      <c r="AM25" s="52">
        <f t="shared" si="11"/>
        <v>761.27825245839347</v>
      </c>
      <c r="AN25" s="33"/>
      <c r="AO25" s="53">
        <f t="shared" si="12"/>
        <v>115.17981919122269</v>
      </c>
      <c r="AP25" s="48">
        <f t="shared" si="13"/>
        <v>2.8588772316941675</v>
      </c>
      <c r="AQ25" s="54">
        <f t="shared" si="14"/>
        <v>3.0495660048694348E-2</v>
      </c>
      <c r="AR25" s="50">
        <f t="shared" si="15"/>
        <v>1.4191849257220193E-4</v>
      </c>
      <c r="AS25" s="50">
        <f t="shared" si="16"/>
        <v>2.5154278826175078E-2</v>
      </c>
      <c r="AT25" s="50">
        <f t="shared" si="17"/>
        <v>5.5611221307394653E-6</v>
      </c>
      <c r="AU25" s="39">
        <f t="shared" si="18"/>
        <v>118.06919208296556</v>
      </c>
      <c r="AV25" s="31"/>
      <c r="AW25" s="237" t="s">
        <v>113</v>
      </c>
      <c r="AX25" s="48">
        <f t="shared" si="19"/>
        <v>97.552813870605178</v>
      </c>
      <c r="AY25" s="48">
        <f t="shared" si="20"/>
        <v>2.4213574949215158</v>
      </c>
      <c r="AZ25" s="50">
        <f t="shared" si="21"/>
        <v>5.0848507393351835E-3</v>
      </c>
      <c r="BA25" s="54">
        <f t="shared" si="22"/>
        <v>2.5828634473305686E-2</v>
      </c>
      <c r="BB25" s="50">
        <f t="shared" si="23"/>
        <v>5.4240132393941942E-5</v>
      </c>
      <c r="BC25" s="50">
        <f t="shared" si="24"/>
        <v>1.2019942719052215E-4</v>
      </c>
      <c r="BD25" s="50">
        <f t="shared" si="25"/>
        <v>2.5241879710009649E-7</v>
      </c>
      <c r="BE25" s="50">
        <f t="shared" si="26"/>
        <v>4.473985516717095E-5</v>
      </c>
      <c r="BF25" s="50">
        <f t="shared" si="27"/>
        <v>4.7100535140714292E-6</v>
      </c>
      <c r="BG25" s="31"/>
      <c r="BH25" s="31"/>
      <c r="BI25" s="68" t="s">
        <v>31</v>
      </c>
      <c r="BJ25" s="31">
        <f t="shared" ref="BJ25:BR25" si="46">_xlfn.STDEV.P(AX19:AX21)</f>
        <v>8.6690346942288332E-2</v>
      </c>
      <c r="BK25" s="31">
        <f t="shared" si="46"/>
        <v>8.3200151717411033E-2</v>
      </c>
      <c r="BL25" s="31">
        <f t="shared" si="46"/>
        <v>1.7472031860656307E-4</v>
      </c>
      <c r="BM25" s="31">
        <f t="shared" si="46"/>
        <v>4.4676939928282077E-3</v>
      </c>
      <c r="BN25" s="31">
        <f t="shared" si="46"/>
        <v>9.3821573849392377E-6</v>
      </c>
      <c r="BO25" s="31">
        <f t="shared" si="46"/>
        <v>1.8408495178308152E-5</v>
      </c>
      <c r="BP25" s="31">
        <f t="shared" si="46"/>
        <v>3.8657839874447122E-8</v>
      </c>
      <c r="BQ25" s="31">
        <f t="shared" si="46"/>
        <v>2.1564464989019191E-5</v>
      </c>
      <c r="BR25" s="31">
        <f t="shared" si="46"/>
        <v>1.374817566431923E-6</v>
      </c>
    </row>
    <row r="26" spans="1:70" ht="19.5" customHeight="1">
      <c r="A26" s="37"/>
      <c r="B26" s="237" t="s">
        <v>113</v>
      </c>
      <c r="C26" s="38"/>
      <c r="D26" s="39">
        <v>162.078143577123</v>
      </c>
      <c r="E26" s="40"/>
      <c r="F26" s="41">
        <v>122.559355359514</v>
      </c>
      <c r="G26" s="42"/>
      <c r="H26" s="43">
        <v>78162.926120267497</v>
      </c>
      <c r="I26" s="43">
        <v>484171.03871198598</v>
      </c>
      <c r="J26" s="44">
        <f t="shared" si="0"/>
        <v>0.16143659961198856</v>
      </c>
      <c r="K26" s="45"/>
      <c r="L26" s="43">
        <v>5388.4998962605196</v>
      </c>
      <c r="M26" s="43">
        <v>404544.97231042298</v>
      </c>
      <c r="N26" s="44">
        <f t="shared" si="1"/>
        <v>1.3319903261894243E-2</v>
      </c>
      <c r="O26" s="45"/>
      <c r="P26" s="39">
        <v>6490.7452874637402</v>
      </c>
      <c r="Q26" s="39">
        <v>228006.931910329</v>
      </c>
      <c r="R26" s="46">
        <f t="shared" si="2"/>
        <v>2.846731559028404E-2</v>
      </c>
      <c r="S26" s="47"/>
      <c r="T26" s="43">
        <v>1978.35775834898</v>
      </c>
      <c r="U26" s="39">
        <v>4373.0410347303596</v>
      </c>
      <c r="V26" s="27">
        <f t="shared" si="3"/>
        <v>0.4523986266392227</v>
      </c>
      <c r="W26" s="47"/>
      <c r="X26" s="39">
        <v>30908.0970248126</v>
      </c>
      <c r="Y26" s="39">
        <v>294515.71055466402</v>
      </c>
      <c r="Z26" s="27">
        <f t="shared" si="4"/>
        <v>0.10494549498430189</v>
      </c>
      <c r="AA26" s="27"/>
      <c r="AB26" s="27"/>
      <c r="AC26" s="237" t="s">
        <v>113</v>
      </c>
      <c r="AD26" s="49">
        <v>39</v>
      </c>
      <c r="AE26" s="50">
        <f t="shared" si="5"/>
        <v>10.973313893830822</v>
      </c>
      <c r="AF26" s="50">
        <f t="shared" si="6"/>
        <v>0.14841481309502635</v>
      </c>
      <c r="AG26" s="50">
        <f t="shared" si="7"/>
        <v>1.1783092850776629E-3</v>
      </c>
      <c r="AH26" s="51">
        <f t="shared" si="8"/>
        <v>2.1125667455942933E-2</v>
      </c>
      <c r="AI26" s="50">
        <f t="shared" si="9"/>
        <v>1.2372539605646597E-2</v>
      </c>
      <c r="AJ26" s="31"/>
      <c r="AK26" s="31"/>
      <c r="AL26" s="39">
        <f t="shared" si="10"/>
        <v>382.9144888706083</v>
      </c>
      <c r="AM26" s="52">
        <f t="shared" si="11"/>
        <v>550.33066022863954</v>
      </c>
      <c r="AN26" s="33"/>
      <c r="AO26" s="53">
        <f t="shared" si="12"/>
        <v>143.72155565380115</v>
      </c>
      <c r="AP26" s="48">
        <f t="shared" si="13"/>
        <v>2.8657348344786309</v>
      </c>
      <c r="AQ26" s="54">
        <f t="shared" si="14"/>
        <v>3.8759257591106093E-2</v>
      </c>
      <c r="AR26" s="50">
        <f t="shared" si="15"/>
        <v>3.0772125874710073E-4</v>
      </c>
      <c r="AS26" s="50">
        <f t="shared" si="16"/>
        <v>5.5170718450096483E-3</v>
      </c>
      <c r="AT26" s="50">
        <f t="shared" si="17"/>
        <v>6.7854139571714191E-6</v>
      </c>
      <c r="AU26" s="39">
        <f t="shared" si="18"/>
        <v>146.62604974587089</v>
      </c>
      <c r="AV26" s="31"/>
      <c r="AW26" s="237" t="s">
        <v>113</v>
      </c>
      <c r="AX26" s="48">
        <f t="shared" si="19"/>
        <v>98.019114545400527</v>
      </c>
      <c r="AY26" s="48">
        <f t="shared" si="20"/>
        <v>1.9544513675744934</v>
      </c>
      <c r="AZ26" s="50">
        <f t="shared" si="21"/>
        <v>4.1043478719064363E-3</v>
      </c>
      <c r="BA26" s="54">
        <f t="shared" si="22"/>
        <v>2.6434087024974625E-2</v>
      </c>
      <c r="BB26" s="50">
        <f t="shared" si="23"/>
        <v>5.5511582752446706E-5</v>
      </c>
      <c r="BC26" s="50">
        <f t="shared" si="24"/>
        <v>2.098680686552196E-4</v>
      </c>
      <c r="BD26" s="50">
        <f t="shared" si="25"/>
        <v>4.4072294417596112E-7</v>
      </c>
      <c r="BE26" s="50">
        <f t="shared" si="26"/>
        <v>7.9016320050909153E-6</v>
      </c>
      <c r="BF26" s="50">
        <f t="shared" si="27"/>
        <v>4.6277001726035397E-6</v>
      </c>
      <c r="BG26" s="31"/>
      <c r="BH26" s="31"/>
      <c r="BI26" s="68" t="s">
        <v>32</v>
      </c>
      <c r="BJ26" s="31">
        <f t="shared" ref="BJ26:BR26" si="47">_xlfn.STDEV.P(AX22:AX24)</f>
        <v>0.25817417339851428</v>
      </c>
      <c r="BK26" s="31">
        <f t="shared" si="47"/>
        <v>0.25347921816749486</v>
      </c>
      <c r="BL26" s="31">
        <f t="shared" si="47"/>
        <v>5.3230635815173914E-4</v>
      </c>
      <c r="BM26" s="31">
        <f t="shared" si="47"/>
        <v>4.7098031018772881E-3</v>
      </c>
      <c r="BN26" s="31">
        <f t="shared" si="47"/>
        <v>9.8905865139423058E-6</v>
      </c>
      <c r="BO26" s="31">
        <f t="shared" si="47"/>
        <v>2.4541078211503538E-5</v>
      </c>
      <c r="BP26" s="31">
        <f t="shared" si="47"/>
        <v>5.1536264244157443E-8</v>
      </c>
      <c r="BQ26" s="31">
        <f t="shared" si="47"/>
        <v>2.2138213073988768E-5</v>
      </c>
      <c r="BR26" s="31">
        <f t="shared" si="47"/>
        <v>4.8159633034253568E-7</v>
      </c>
    </row>
    <row r="27" spans="1:70" ht="19.5" customHeight="1">
      <c r="A27" s="37"/>
      <c r="B27" s="237" t="s">
        <v>113</v>
      </c>
      <c r="C27" s="38"/>
      <c r="D27" s="39">
        <v>361.27131404346699</v>
      </c>
      <c r="E27" s="40"/>
      <c r="F27" s="41">
        <v>190.377608954121</v>
      </c>
      <c r="G27" s="42"/>
      <c r="H27" s="43">
        <v>139151.04935182899</v>
      </c>
      <c r="I27" s="43">
        <v>409365.94348885299</v>
      </c>
      <c r="J27" s="44">
        <f t="shared" si="0"/>
        <v>0.33991848018890719</v>
      </c>
      <c r="K27" s="45"/>
      <c r="L27" s="43">
        <v>7313.0573107456703</v>
      </c>
      <c r="M27" s="43">
        <v>311657.33402947302</v>
      </c>
      <c r="N27" s="44">
        <f t="shared" si="1"/>
        <v>2.346505765224214E-2</v>
      </c>
      <c r="O27" s="45"/>
      <c r="P27" s="39">
        <v>6047.8992081119404</v>
      </c>
      <c r="Q27" s="39">
        <v>248544.10116347799</v>
      </c>
      <c r="R27" s="46">
        <f t="shared" si="2"/>
        <v>2.4333304149246258E-2</v>
      </c>
      <c r="S27" s="47"/>
      <c r="T27" s="43">
        <v>7807.3235899944302</v>
      </c>
      <c r="U27" s="39">
        <v>3292.1736357211798</v>
      </c>
      <c r="V27" s="27">
        <f t="shared" si="3"/>
        <v>2.3714798956174032</v>
      </c>
      <c r="W27" s="47"/>
      <c r="X27" s="39">
        <v>29783.872060615198</v>
      </c>
      <c r="Y27" s="39">
        <v>332150.58657530003</v>
      </c>
      <c r="Z27" s="27">
        <f t="shared" si="4"/>
        <v>8.966978612835616E-2</v>
      </c>
      <c r="AA27" s="27"/>
      <c r="AB27" s="27"/>
      <c r="AC27" s="237" t="s">
        <v>113</v>
      </c>
      <c r="AD27" s="49">
        <v>39</v>
      </c>
      <c r="AE27" s="50">
        <f t="shared" si="5"/>
        <v>23.077454571905758</v>
      </c>
      <c r="AF27" s="50">
        <f t="shared" si="6"/>
        <v>0.23555020788534495</v>
      </c>
      <c r="AG27" s="50">
        <f t="shared" si="7"/>
        <v>1.0187425504531991E-3</v>
      </c>
      <c r="AH27" s="51">
        <f t="shared" si="8"/>
        <v>0.10839156903786303</v>
      </c>
      <c r="AI27" s="50">
        <f t="shared" si="9"/>
        <v>1.0594985568842731E-2</v>
      </c>
      <c r="AJ27" s="31"/>
      <c r="AK27" s="31"/>
      <c r="AL27" s="39">
        <f t="shared" si="10"/>
        <v>853.96598769422565</v>
      </c>
      <c r="AM27" s="52">
        <f t="shared" si="11"/>
        <v>854.78643082687779</v>
      </c>
      <c r="AN27" s="33"/>
      <c r="AO27" s="53">
        <f t="shared" si="12"/>
        <v>100.09607445079487</v>
      </c>
      <c r="AP27" s="48">
        <f t="shared" si="13"/>
        <v>2.7023856809820579</v>
      </c>
      <c r="AQ27" s="54">
        <f t="shared" si="14"/>
        <v>2.7583090108933821E-2</v>
      </c>
      <c r="AR27" s="50">
        <f t="shared" si="15"/>
        <v>1.1929544796085883E-4</v>
      </c>
      <c r="AS27" s="50">
        <f t="shared" si="16"/>
        <v>1.2692726712749843E-2</v>
      </c>
      <c r="AT27" s="50">
        <f t="shared" si="17"/>
        <v>2.6054280867373918E-6</v>
      </c>
      <c r="AU27" s="39">
        <f t="shared" si="18"/>
        <v>102.82604322188587</v>
      </c>
      <c r="AV27" s="31"/>
      <c r="AW27" s="237" t="s">
        <v>113</v>
      </c>
      <c r="AX27" s="48">
        <f t="shared" si="19"/>
        <v>97.345060953867431</v>
      </c>
      <c r="AY27" s="48">
        <f t="shared" si="20"/>
        <v>2.6281140422282361</v>
      </c>
      <c r="AZ27" s="50">
        <f t="shared" si="21"/>
        <v>5.5190394886792957E-3</v>
      </c>
      <c r="BA27" s="54">
        <f t="shared" si="22"/>
        <v>2.6825003904325025E-2</v>
      </c>
      <c r="BB27" s="50">
        <f t="shared" si="23"/>
        <v>5.6332508199082543E-5</v>
      </c>
      <c r="BC27" s="50">
        <f t="shared" si="24"/>
        <v>1.1601676406378297E-4</v>
      </c>
      <c r="BD27" s="50">
        <f t="shared" si="25"/>
        <v>2.4363520453394421E-7</v>
      </c>
      <c r="BE27" s="50">
        <f t="shared" si="26"/>
        <v>2.5922154798135204E-5</v>
      </c>
      <c r="BF27" s="50">
        <f t="shared" si="27"/>
        <v>2.533821204337505E-6</v>
      </c>
      <c r="BG27" s="31"/>
      <c r="BH27" s="31"/>
      <c r="BI27" s="68" t="s">
        <v>113</v>
      </c>
      <c r="BJ27" s="31">
        <f t="shared" ref="BJ27:BR27" si="48">_xlfn.STDEV.P(AX25:AX27)</f>
        <v>0.28184823299592032</v>
      </c>
      <c r="BK27" s="31">
        <f t="shared" si="48"/>
        <v>0.28177433855836165</v>
      </c>
      <c r="BL27" s="31">
        <f t="shared" si="48"/>
        <v>5.9172611097256121E-4</v>
      </c>
      <c r="BM27" s="31">
        <f t="shared" si="48"/>
        <v>4.098971201483618E-4</v>
      </c>
      <c r="BN27" s="31">
        <f t="shared" si="48"/>
        <v>8.6078395231155523E-7</v>
      </c>
      <c r="BO27" s="31">
        <f t="shared" si="48"/>
        <v>4.3289756687377184E-5</v>
      </c>
      <c r="BP27" s="31">
        <f t="shared" si="48"/>
        <v>9.0908489043492081E-8</v>
      </c>
      <c r="BQ27" s="31">
        <f t="shared" si="48"/>
        <v>1.5040315358147126E-5</v>
      </c>
      <c r="BR27" s="31">
        <f t="shared" si="48"/>
        <v>1.0070362606583965E-6</v>
      </c>
    </row>
    <row r="28" spans="1:70" ht="19.5" customHeight="1">
      <c r="A28" s="37"/>
      <c r="B28" s="237" t="s">
        <v>114</v>
      </c>
      <c r="C28" s="38"/>
      <c r="D28" s="39">
        <v>319.45051974610101</v>
      </c>
      <c r="E28" s="40"/>
      <c r="F28" s="41">
        <v>150.91155418594099</v>
      </c>
      <c r="G28" s="42"/>
      <c r="H28" s="43">
        <v>512932.499070686</v>
      </c>
      <c r="I28" s="43">
        <v>1041352.82317151</v>
      </c>
      <c r="J28" s="44">
        <f t="shared" si="0"/>
        <v>0.4925636034754442</v>
      </c>
      <c r="K28" s="45"/>
      <c r="L28" s="43">
        <v>6193.7785256645702</v>
      </c>
      <c r="M28" s="43">
        <v>529780.671182491</v>
      </c>
      <c r="N28" s="44">
        <f t="shared" si="1"/>
        <v>1.1691212727410036E-2</v>
      </c>
      <c r="O28" s="45"/>
      <c r="P28" s="39">
        <v>4527.6685677596097</v>
      </c>
      <c r="Q28" s="39">
        <v>197810.641052616</v>
      </c>
      <c r="R28" s="46">
        <f t="shared" si="2"/>
        <v>2.2888902961268331E-2</v>
      </c>
      <c r="S28" s="47"/>
      <c r="T28" s="43">
        <v>3360.00412132359</v>
      </c>
      <c r="U28" s="39">
        <v>14302.014327671999</v>
      </c>
      <c r="V28" s="27">
        <f t="shared" si="3"/>
        <v>0.23493223012806982</v>
      </c>
      <c r="W28" s="47"/>
      <c r="X28" s="39">
        <v>62519.312725768701</v>
      </c>
      <c r="Y28" s="39">
        <v>358354.27119762701</v>
      </c>
      <c r="Z28" s="27">
        <f t="shared" si="4"/>
        <v>0.1744623065795419</v>
      </c>
      <c r="AA28" s="27"/>
      <c r="AB28" s="27"/>
      <c r="AC28" s="237" t="s">
        <v>114</v>
      </c>
      <c r="AD28" s="49">
        <v>39</v>
      </c>
      <c r="AE28" s="50">
        <f t="shared" si="5"/>
        <v>33.429418816736074</v>
      </c>
      <c r="AF28" s="50">
        <f t="shared" si="6"/>
        <v>0.13442620461721394</v>
      </c>
      <c r="AG28" s="50">
        <f t="shared" si="7"/>
        <v>9.6299079834980493E-4</v>
      </c>
      <c r="AH28" s="51">
        <f t="shared" si="8"/>
        <v>1.1236872509066272E-2</v>
      </c>
      <c r="AI28" s="50">
        <f t="shared" si="9"/>
        <v>2.0461845983645272E-2</v>
      </c>
      <c r="AJ28" s="31"/>
      <c r="AK28" s="31"/>
      <c r="AL28" s="39">
        <f t="shared" si="10"/>
        <v>755.06828056075267</v>
      </c>
      <c r="AM28" s="52">
        <f t="shared" si="11"/>
        <v>677.61188739578563</v>
      </c>
      <c r="AN28" s="33"/>
      <c r="AO28" s="53">
        <f t="shared" si="12"/>
        <v>89.74180280656951</v>
      </c>
      <c r="AP28" s="48">
        <f t="shared" si="13"/>
        <v>4.427337192857534</v>
      </c>
      <c r="AQ28" s="54">
        <f t="shared" si="14"/>
        <v>1.7803185232119947E-2</v>
      </c>
      <c r="AR28" s="50">
        <f t="shared" si="15"/>
        <v>1.2753691595078503E-4</v>
      </c>
      <c r="AS28" s="50">
        <f t="shared" si="16"/>
        <v>1.4881928957101987E-3</v>
      </c>
      <c r="AT28" s="50">
        <f t="shared" si="17"/>
        <v>5.6908597105606687E-6</v>
      </c>
      <c r="AU28" s="39">
        <f t="shared" si="18"/>
        <v>94.186943184659171</v>
      </c>
      <c r="AV28" s="31"/>
      <c r="AW28" s="237" t="s">
        <v>114</v>
      </c>
      <c r="AX28" s="48">
        <f t="shared" si="19"/>
        <v>95.280513171157182</v>
      </c>
      <c r="AY28" s="48">
        <f t="shared" si="20"/>
        <v>4.7005848615104462</v>
      </c>
      <c r="AZ28" s="50">
        <f t="shared" si="21"/>
        <v>9.8712282091719377E-3</v>
      </c>
      <c r="BA28" s="54">
        <f t="shared" si="22"/>
        <v>1.8901967332367643E-2</v>
      </c>
      <c r="BB28" s="50">
        <f t="shared" si="23"/>
        <v>3.9694131397972049E-5</v>
      </c>
      <c r="BC28" s="50">
        <f t="shared" si="24"/>
        <v>1.3540827596532275E-4</v>
      </c>
      <c r="BD28" s="50">
        <f t="shared" si="25"/>
        <v>2.8435737952717775E-7</v>
      </c>
      <c r="BE28" s="50">
        <f t="shared" si="26"/>
        <v>3.318087385917456E-6</v>
      </c>
      <c r="BF28" s="50">
        <f t="shared" si="27"/>
        <v>6.0420898249170221E-6</v>
      </c>
      <c r="BG28" s="31"/>
      <c r="BH28" s="31"/>
      <c r="BI28" s="68" t="s">
        <v>114</v>
      </c>
      <c r="BJ28" s="31">
        <f t="shared" ref="BJ28:BR28" si="49">_xlfn.STDEV.P(AX28:AX30)</f>
        <v>0.48611074750517708</v>
      </c>
      <c r="BK28" s="31">
        <f t="shared" si="49"/>
        <v>0.48871035527960333</v>
      </c>
      <c r="BL28" s="31">
        <f t="shared" si="49"/>
        <v>1.0262917460871724E-3</v>
      </c>
      <c r="BM28" s="31">
        <f t="shared" si="49"/>
        <v>2.8101783343406866E-3</v>
      </c>
      <c r="BN28" s="31">
        <f t="shared" si="49"/>
        <v>5.9013745021154404E-6</v>
      </c>
      <c r="BO28" s="31">
        <f t="shared" si="49"/>
        <v>9.5404340376756281E-6</v>
      </c>
      <c r="BP28" s="31">
        <f t="shared" si="49"/>
        <v>2.0034911479118812E-8</v>
      </c>
      <c r="BQ28" s="31">
        <f t="shared" si="49"/>
        <v>1.5198747324418011E-5</v>
      </c>
      <c r="BR28" s="31">
        <f t="shared" si="49"/>
        <v>4.9888800566013839E-8</v>
      </c>
    </row>
    <row r="29" spans="1:70" ht="19.5" customHeight="1">
      <c r="A29" s="37"/>
      <c r="B29" s="237" t="s">
        <v>114</v>
      </c>
      <c r="C29" s="38"/>
      <c r="D29" s="39">
        <v>216.020461214899</v>
      </c>
      <c r="E29" s="40"/>
      <c r="F29" s="41">
        <v>157.87060647127299</v>
      </c>
      <c r="G29" s="42"/>
      <c r="H29" s="43">
        <v>168429.792867126</v>
      </c>
      <c r="I29" s="43">
        <v>440476.13965846301</v>
      </c>
      <c r="J29" s="44">
        <f t="shared" si="0"/>
        <v>0.38238119548932509</v>
      </c>
      <c r="K29" s="45"/>
      <c r="L29" s="43">
        <v>6002.05750712792</v>
      </c>
      <c r="M29" s="43">
        <v>351864.41249722597</v>
      </c>
      <c r="N29" s="44">
        <f t="shared" si="1"/>
        <v>1.7057870287394406E-2</v>
      </c>
      <c r="O29" s="45"/>
      <c r="P29" s="39">
        <v>5168.9680144253498</v>
      </c>
      <c r="Q29" s="39">
        <v>228273.34708576501</v>
      </c>
      <c r="R29" s="46">
        <f t="shared" si="2"/>
        <v>2.2643764944154023E-2</v>
      </c>
      <c r="S29" s="47"/>
      <c r="T29" s="43">
        <v>3766.0829239596401</v>
      </c>
      <c r="U29" s="39">
        <v>3251.7719311239498</v>
      </c>
      <c r="V29" s="27">
        <f t="shared" si="3"/>
        <v>1.1581633041090684</v>
      </c>
      <c r="W29" s="47"/>
      <c r="X29" s="39">
        <v>47217.333527008203</v>
      </c>
      <c r="Y29" s="39">
        <v>258734.489777546</v>
      </c>
      <c r="Z29" s="27">
        <f t="shared" si="4"/>
        <v>0.18249338759438136</v>
      </c>
      <c r="AA29" s="27"/>
      <c r="AB29" s="27"/>
      <c r="AC29" s="237" t="s">
        <v>114</v>
      </c>
      <c r="AD29" s="49">
        <v>39</v>
      </c>
      <c r="AE29" s="50">
        <f t="shared" si="5"/>
        <v>25.957156858255214</v>
      </c>
      <c r="AF29" s="50">
        <f t="shared" si="6"/>
        <v>0.180519719530953</v>
      </c>
      <c r="AG29" s="50">
        <f t="shared" si="7"/>
        <v>9.5352883302117801E-4</v>
      </c>
      <c r="AH29" s="51">
        <f t="shared" si="8"/>
        <v>5.3218727754985123E-2</v>
      </c>
      <c r="AI29" s="50">
        <f t="shared" si="9"/>
        <v>2.1396380715385091E-2</v>
      </c>
      <c r="AJ29" s="31"/>
      <c r="AK29" s="31"/>
      <c r="AL29" s="39">
        <f t="shared" si="10"/>
        <v>510.47714332209347</v>
      </c>
      <c r="AM29" s="52">
        <f t="shared" si="11"/>
        <v>708.85308742475047</v>
      </c>
      <c r="AN29" s="33"/>
      <c r="AO29" s="53">
        <f t="shared" si="12"/>
        <v>138.86088666216514</v>
      </c>
      <c r="AP29" s="48">
        <f t="shared" si="13"/>
        <v>5.0848813111064493</v>
      </c>
      <c r="AQ29" s="54">
        <f t="shared" si="14"/>
        <v>3.5362938751020881E-2</v>
      </c>
      <c r="AR29" s="50">
        <f t="shared" si="15"/>
        <v>1.8679168019468682E-4</v>
      </c>
      <c r="AS29" s="50">
        <f t="shared" si="16"/>
        <v>1.0425291014725403E-2</v>
      </c>
      <c r="AT29" s="50">
        <f t="shared" si="17"/>
        <v>8.8020394429213257E-6</v>
      </c>
      <c r="AU29" s="39">
        <f t="shared" si="18"/>
        <v>143.98113091202259</v>
      </c>
      <c r="AV29" s="31"/>
      <c r="AW29" s="237" t="s">
        <v>114</v>
      </c>
      <c r="AX29" s="48">
        <f t="shared" si="19"/>
        <v>96.443808839794372</v>
      </c>
      <c r="AY29" s="48">
        <f t="shared" si="20"/>
        <v>3.5316303455162372</v>
      </c>
      <c r="AZ29" s="50">
        <f t="shared" si="21"/>
        <v>7.4164237255840981E-3</v>
      </c>
      <c r="BA29" s="54">
        <f t="shared" si="22"/>
        <v>2.4560814689411521E-2</v>
      </c>
      <c r="BB29" s="50">
        <f t="shared" si="23"/>
        <v>5.1577710847764194E-5</v>
      </c>
      <c r="BC29" s="50">
        <f t="shared" si="24"/>
        <v>1.2973344424473436E-4</v>
      </c>
      <c r="BD29" s="50">
        <f t="shared" si="25"/>
        <v>2.7244023291394216E-7</v>
      </c>
      <c r="BE29" s="50">
        <f t="shared" si="26"/>
        <v>1.5205541859718263E-5</v>
      </c>
      <c r="BF29" s="50">
        <f t="shared" si="27"/>
        <v>6.1133284529482363E-6</v>
      </c>
      <c r="BG29" s="31"/>
      <c r="BH29" s="31"/>
      <c r="BI29" s="68" t="s">
        <v>33</v>
      </c>
      <c r="BJ29" s="31">
        <f t="shared" ref="BJ29:BR29" si="50">_xlfn.STDEV.P(AX31:AX33)</f>
        <v>0.51047668296025006</v>
      </c>
      <c r="BK29" s="31">
        <f t="shared" si="50"/>
        <v>0.50442996124414452</v>
      </c>
      <c r="BL29" s="31">
        <f t="shared" si="50"/>
        <v>1.0593029186127115E-3</v>
      </c>
      <c r="BM29" s="31">
        <f t="shared" si="50"/>
        <v>7.3692419116047582E-3</v>
      </c>
      <c r="BN29" s="31">
        <f t="shared" si="50"/>
        <v>1.5475408014369988E-5</v>
      </c>
      <c r="BO29" s="31">
        <f t="shared" si="50"/>
        <v>4.3967278727960384E-5</v>
      </c>
      <c r="BP29" s="31">
        <f t="shared" si="50"/>
        <v>9.2331285328716807E-8</v>
      </c>
      <c r="BQ29" s="31">
        <f t="shared" si="50"/>
        <v>1.3666274639895948E-5</v>
      </c>
      <c r="BR29" s="31">
        <f t="shared" si="50"/>
        <v>1.8351233909717651E-6</v>
      </c>
    </row>
    <row r="30" spans="1:70" ht="19.5" customHeight="1">
      <c r="A30" s="37"/>
      <c r="B30" s="237" t="s">
        <v>114</v>
      </c>
      <c r="C30" s="38"/>
      <c r="D30" s="39">
        <v>308.05824120045497</v>
      </c>
      <c r="E30" s="40"/>
      <c r="F30" s="41">
        <v>172.352025328255</v>
      </c>
      <c r="G30" s="42"/>
      <c r="H30" s="43">
        <v>200107.97497719101</v>
      </c>
      <c r="I30" s="43">
        <v>433195.88577501499</v>
      </c>
      <c r="J30" s="44">
        <f t="shared" si="0"/>
        <v>0.46193415392019505</v>
      </c>
      <c r="K30" s="45"/>
      <c r="L30" s="43">
        <v>6835.8239634491001</v>
      </c>
      <c r="M30" s="43">
        <v>348741.91032627702</v>
      </c>
      <c r="N30" s="44">
        <f t="shared" si="1"/>
        <v>1.9601383605009272E-2</v>
      </c>
      <c r="O30" s="45"/>
      <c r="P30" s="39">
        <v>7438.4661774561</v>
      </c>
      <c r="Q30" s="39">
        <v>250456.47517095099</v>
      </c>
      <c r="R30" s="46">
        <f t="shared" si="2"/>
        <v>2.969963612391701E-2</v>
      </c>
      <c r="S30" s="47"/>
      <c r="T30" s="43">
        <v>7995.3397171504803</v>
      </c>
      <c r="U30" s="39">
        <v>2389.5269729070301</v>
      </c>
      <c r="V30" s="27">
        <f t="shared" si="3"/>
        <v>3.3459926620638138</v>
      </c>
      <c r="W30" s="47"/>
      <c r="X30" s="39">
        <v>60917.7717892172</v>
      </c>
      <c r="Y30" s="39">
        <v>310639.52368197899</v>
      </c>
      <c r="Z30" s="27">
        <f t="shared" si="4"/>
        <v>0.19610438191240118</v>
      </c>
      <c r="AA30" s="27"/>
      <c r="AB30" s="27"/>
      <c r="AC30" s="237" t="s">
        <v>114</v>
      </c>
      <c r="AD30" s="49">
        <v>39</v>
      </c>
      <c r="AE30" s="50">
        <f t="shared" si="5"/>
        <v>31.35221543278271</v>
      </c>
      <c r="AF30" s="50">
        <f t="shared" si="6"/>
        <v>0.20236562039724865</v>
      </c>
      <c r="AG30" s="50">
        <f t="shared" si="7"/>
        <v>1.2258750372210886E-3</v>
      </c>
      <c r="AH30" s="51">
        <f t="shared" si="8"/>
        <v>0.15270534383298562</v>
      </c>
      <c r="AI30" s="50">
        <f t="shared" si="9"/>
        <v>2.2980220661738448E-2</v>
      </c>
      <c r="AJ30" s="31"/>
      <c r="AK30" s="31"/>
      <c r="AL30" s="39">
        <f t="shared" si="10"/>
        <v>728.12784946374677</v>
      </c>
      <c r="AM30" s="52">
        <f t="shared" si="11"/>
        <v>773.86436836709731</v>
      </c>
      <c r="AN30" s="33"/>
      <c r="AO30" s="53">
        <f t="shared" si="12"/>
        <v>106.28138573974812</v>
      </c>
      <c r="AP30" s="48">
        <f t="shared" si="13"/>
        <v>4.3058668138944363</v>
      </c>
      <c r="AQ30" s="54">
        <f t="shared" si="14"/>
        <v>2.7792594466244814E-2</v>
      </c>
      <c r="AR30" s="50">
        <f t="shared" si="15"/>
        <v>1.6835986126940809E-4</v>
      </c>
      <c r="AS30" s="50">
        <f t="shared" si="16"/>
        <v>2.0972325663061835E-2</v>
      </c>
      <c r="AT30" s="50">
        <f t="shared" si="17"/>
        <v>6.6277458588065602E-6</v>
      </c>
      <c r="AU30" s="39">
        <f t="shared" si="18"/>
        <v>110.61504514810881</v>
      </c>
      <c r="AV30" s="31"/>
      <c r="AW30" s="237" t="s">
        <v>114</v>
      </c>
      <c r="AX30" s="48">
        <f t="shared" si="19"/>
        <v>96.082215215337015</v>
      </c>
      <c r="AY30" s="48">
        <f t="shared" si="20"/>
        <v>3.8926592744495698</v>
      </c>
      <c r="AZ30" s="50">
        <f t="shared" si="21"/>
        <v>8.1745844763440965E-3</v>
      </c>
      <c r="BA30" s="54">
        <f t="shared" si="22"/>
        <v>2.5125510213399743E-2</v>
      </c>
      <c r="BB30" s="50">
        <f t="shared" si="23"/>
        <v>5.2763571448139455E-5</v>
      </c>
      <c r="BC30" s="50">
        <f t="shared" si="24"/>
        <v>1.5220340148483548E-4</v>
      </c>
      <c r="BD30" s="50">
        <f t="shared" si="25"/>
        <v>3.196271431181545E-7</v>
      </c>
      <c r="BE30" s="50">
        <f t="shared" si="26"/>
        <v>3.9815455332915751E-5</v>
      </c>
      <c r="BF30" s="50">
        <f t="shared" si="27"/>
        <v>5.991721876470143E-6</v>
      </c>
      <c r="BG30" s="31"/>
      <c r="BH30" s="31"/>
      <c r="BI30" s="68" t="s">
        <v>34</v>
      </c>
      <c r="BJ30" s="31">
        <f t="shared" ref="BJ30:BQ30" si="51">_xlfn.STDEV.P(AX34:AX36)</f>
        <v>0.23687360327190676</v>
      </c>
      <c r="BK30" s="31">
        <f t="shared" si="51"/>
        <v>0.23965616197031747</v>
      </c>
      <c r="BL30" s="31">
        <f t="shared" si="51"/>
        <v>5.0327794013766563E-4</v>
      </c>
      <c r="BM30" s="31">
        <f t="shared" si="51"/>
        <v>5.3686224169072136E-3</v>
      </c>
      <c r="BN30" s="31">
        <f t="shared" si="51"/>
        <v>1.1274107075505151E-5</v>
      </c>
      <c r="BO30" s="31">
        <f t="shared" si="51"/>
        <v>7.768972920567687E-8</v>
      </c>
      <c r="BP30" s="31">
        <f t="shared" si="51"/>
        <v>1.6314843133194345E-10</v>
      </c>
      <c r="BQ30" s="31">
        <f t="shared" si="51"/>
        <v>1.3417301184543258E-5</v>
      </c>
      <c r="BR30" s="31">
        <f>_xlfn.STDEV.P(BF35:BF36)</f>
        <v>1.7536651596333716E-7</v>
      </c>
    </row>
    <row r="31" spans="1:70" ht="19.5" customHeight="1">
      <c r="A31" s="37"/>
      <c r="B31" s="237" t="s">
        <v>33</v>
      </c>
      <c r="C31" s="38"/>
      <c r="D31" s="39">
        <v>231.292804405558</v>
      </c>
      <c r="E31" s="40"/>
      <c r="F31" s="41">
        <v>125.85568891334</v>
      </c>
      <c r="G31" s="42"/>
      <c r="H31" s="43">
        <v>197364.34604805999</v>
      </c>
      <c r="I31" s="43">
        <v>513134.27647871501</v>
      </c>
      <c r="J31" s="44">
        <f t="shared" si="0"/>
        <v>0.38462514607762072</v>
      </c>
      <c r="K31" s="45"/>
      <c r="L31" s="43">
        <v>9507.6146355658693</v>
      </c>
      <c r="M31" s="43">
        <v>377226.043337968</v>
      </c>
      <c r="N31" s="44">
        <f t="shared" si="1"/>
        <v>2.520402502286332E-2</v>
      </c>
      <c r="O31" s="45"/>
      <c r="P31" s="39">
        <v>6385.4158322093799</v>
      </c>
      <c r="Q31" s="39">
        <v>163409.96756058099</v>
      </c>
      <c r="R31" s="46">
        <f t="shared" si="2"/>
        <v>3.9076048588297496E-2</v>
      </c>
      <c r="S31" s="47"/>
      <c r="T31" s="43">
        <v>3409.1644981153599</v>
      </c>
      <c r="U31" s="39">
        <v>6295.3985940489902</v>
      </c>
      <c r="V31" s="27">
        <f t="shared" si="3"/>
        <v>0.54153274763857318</v>
      </c>
      <c r="W31" s="47"/>
      <c r="X31" s="39">
        <v>67446.708749714293</v>
      </c>
      <c r="Y31" s="39">
        <v>347127.11040697002</v>
      </c>
      <c r="Z31" s="27">
        <f t="shared" si="4"/>
        <v>0.19429974417912829</v>
      </c>
      <c r="AA31" s="27"/>
      <c r="AB31" s="27"/>
      <c r="AC31" s="237" t="s">
        <v>33</v>
      </c>
      <c r="AD31" s="49">
        <v>39</v>
      </c>
      <c r="AE31" s="50">
        <f t="shared" si="5"/>
        <v>26.109335295122779</v>
      </c>
      <c r="AF31" s="50">
        <f t="shared" si="6"/>
        <v>0.25048596958363123</v>
      </c>
      <c r="AG31" s="50">
        <f t="shared" si="7"/>
        <v>1.5877907069701122E-3</v>
      </c>
      <c r="AH31" s="51">
        <f t="shared" si="8"/>
        <v>2.5178841001251874E-2</v>
      </c>
      <c r="AI31" s="50">
        <f t="shared" si="9"/>
        <v>2.2770224443690656E-2</v>
      </c>
      <c r="AJ31" s="31"/>
      <c r="AK31" s="31"/>
      <c r="AL31" s="39">
        <f t="shared" si="10"/>
        <v>546.59314134384351</v>
      </c>
      <c r="AM31" s="52">
        <f t="shared" si="11"/>
        <v>565.12885568613399</v>
      </c>
      <c r="AN31" s="33"/>
      <c r="AO31" s="53">
        <f t="shared" si="12"/>
        <v>103.39113555225352</v>
      </c>
      <c r="AP31" s="48">
        <f t="shared" si="13"/>
        <v>4.7767403796781762</v>
      </c>
      <c r="AQ31" s="54">
        <f t="shared" si="14"/>
        <v>4.5826767779740367E-2</v>
      </c>
      <c r="AR31" s="50">
        <f t="shared" si="15"/>
        <v>2.9048858956890676E-4</v>
      </c>
      <c r="AS31" s="50">
        <f t="shared" si="16"/>
        <v>4.6065051126231941E-3</v>
      </c>
      <c r="AT31" s="50">
        <f t="shared" si="17"/>
        <v>8.7482750358314508E-6</v>
      </c>
      <c r="AU31" s="39">
        <f t="shared" si="18"/>
        <v>108.21370269971143</v>
      </c>
      <c r="AV31" s="31"/>
      <c r="AW31" s="237" t="s">
        <v>33</v>
      </c>
      <c r="AX31" s="48">
        <f t="shared" si="19"/>
        <v>95.543478296052456</v>
      </c>
      <c r="AY31" s="48">
        <f t="shared" si="20"/>
        <v>4.4141733075463039</v>
      </c>
      <c r="AZ31" s="50">
        <f t="shared" si="21"/>
        <v>9.2697639458472376E-3</v>
      </c>
      <c r="BA31" s="54">
        <f t="shared" si="22"/>
        <v>4.2348396401246671E-2</v>
      </c>
      <c r="BB31" s="50">
        <f t="shared" si="23"/>
        <v>8.8931632442618003E-5</v>
      </c>
      <c r="BC31" s="50">
        <f t="shared" si="24"/>
        <v>2.6843974683594425E-4</v>
      </c>
      <c r="BD31" s="50">
        <f t="shared" si="25"/>
        <v>5.6372346835548289E-7</v>
      </c>
      <c r="BE31" s="50">
        <f t="shared" si="26"/>
        <v>8.9394046180572145E-6</v>
      </c>
      <c r="BF31" s="50">
        <f t="shared" si="27"/>
        <v>8.0842581092595591E-6</v>
      </c>
      <c r="BG31" s="31"/>
      <c r="BH31" s="31"/>
      <c r="BI31" s="68" t="s">
        <v>115</v>
      </c>
      <c r="BJ31" s="31">
        <f t="shared" ref="BJ31:BR31" si="52">_xlfn.STDEV.P(AX37:AX39)</f>
        <v>0.4360182675030212</v>
      </c>
      <c r="BK31" s="31">
        <f t="shared" si="52"/>
        <v>0.43226945163844299</v>
      </c>
      <c r="BL31" s="31">
        <f t="shared" si="52"/>
        <v>9.0776584844073059E-4</v>
      </c>
      <c r="BM31" s="31">
        <f t="shared" si="52"/>
        <v>4.7897047327988005E-3</v>
      </c>
      <c r="BN31" s="31">
        <f t="shared" si="52"/>
        <v>1.0058379938877478E-5</v>
      </c>
      <c r="BO31" s="31">
        <f t="shared" si="52"/>
        <v>2.6508722477549152E-5</v>
      </c>
      <c r="BP31" s="31">
        <f t="shared" si="52"/>
        <v>5.5668317202853218E-8</v>
      </c>
      <c r="BQ31" s="31">
        <f t="shared" si="52"/>
        <v>1.5843953418702278E-5</v>
      </c>
      <c r="BR31" s="31">
        <f t="shared" si="52"/>
        <v>1.5245755681351156E-6</v>
      </c>
    </row>
    <row r="32" spans="1:70" ht="19.5" customHeight="1">
      <c r="A32" s="37"/>
      <c r="B32" s="237" t="s">
        <v>33</v>
      </c>
      <c r="C32" s="38"/>
      <c r="D32" s="39">
        <v>263.79137945222698</v>
      </c>
      <c r="E32" s="40"/>
      <c r="F32" s="41">
        <v>182.52402130416201</v>
      </c>
      <c r="G32" s="42"/>
      <c r="H32" s="43">
        <v>219372.86911112099</v>
      </c>
      <c r="I32" s="43">
        <v>385586.83648174198</v>
      </c>
      <c r="J32" s="44">
        <f t="shared" si="0"/>
        <v>0.56893246437760214</v>
      </c>
      <c r="K32" s="45"/>
      <c r="L32" s="43">
        <v>8829.27721556912</v>
      </c>
      <c r="M32" s="43">
        <v>304329.38929474697</v>
      </c>
      <c r="N32" s="44">
        <f t="shared" si="1"/>
        <v>2.9012239784103961E-2</v>
      </c>
      <c r="O32" s="45"/>
      <c r="P32" s="39">
        <v>8718.4958406122805</v>
      </c>
      <c r="Q32" s="39">
        <v>230380.080755206</v>
      </c>
      <c r="R32" s="46">
        <f t="shared" si="2"/>
        <v>3.7843965554800962E-2</v>
      </c>
      <c r="S32" s="47"/>
      <c r="T32" s="43">
        <v>8742.9718739428408</v>
      </c>
      <c r="U32" s="39">
        <v>2307.8809822336998</v>
      </c>
      <c r="V32" s="27">
        <f t="shared" si="3"/>
        <v>3.7883114169435594</v>
      </c>
      <c r="W32" s="47"/>
      <c r="X32" s="39">
        <v>41877.513963705198</v>
      </c>
      <c r="Y32" s="39">
        <v>216382.62947645801</v>
      </c>
      <c r="Z32" s="27">
        <f t="shared" si="4"/>
        <v>0.1935345460263084</v>
      </c>
      <c r="AA32" s="27"/>
      <c r="AB32" s="27"/>
      <c r="AC32" s="237" t="s">
        <v>33</v>
      </c>
      <c r="AD32" s="49">
        <v>39</v>
      </c>
      <c r="AE32" s="50">
        <f t="shared" si="5"/>
        <v>38.608540825066129</v>
      </c>
      <c r="AF32" s="50">
        <f t="shared" si="6"/>
        <v>0.28319422456915672</v>
      </c>
      <c r="AG32" s="50">
        <f t="shared" si="7"/>
        <v>1.540234121981104E-3</v>
      </c>
      <c r="AH32" s="51">
        <f t="shared" si="8"/>
        <v>0.17281879371920417</v>
      </c>
      <c r="AI32" s="50">
        <f t="shared" si="9"/>
        <v>2.2681182352202348E-2</v>
      </c>
      <c r="AJ32" s="31"/>
      <c r="AK32" s="31"/>
      <c r="AL32" s="39">
        <f t="shared" si="10"/>
        <v>623.44568829374907</v>
      </c>
      <c r="AM32" s="52">
        <f t="shared" si="11"/>
        <v>819.52940261995832</v>
      </c>
      <c r="AN32" s="33"/>
      <c r="AO32" s="53">
        <f t="shared" si="12"/>
        <v>131.45161126430318</v>
      </c>
      <c r="AP32" s="48">
        <f t="shared" si="13"/>
        <v>6.1927673171868873</v>
      </c>
      <c r="AQ32" s="54">
        <f t="shared" si="14"/>
        <v>4.5424040920742405E-2</v>
      </c>
      <c r="AR32" s="50">
        <f t="shared" si="15"/>
        <v>2.4705185245509173E-4</v>
      </c>
      <c r="AS32" s="50">
        <f t="shared" si="16"/>
        <v>2.7719943687825634E-2</v>
      </c>
      <c r="AT32" s="50">
        <f t="shared" si="17"/>
        <v>7.6398768704264189E-6</v>
      </c>
      <c r="AU32" s="39">
        <f t="shared" si="18"/>
        <v>137.68980262241081</v>
      </c>
      <c r="AV32" s="31"/>
      <c r="AW32" s="237" t="s">
        <v>33</v>
      </c>
      <c r="AX32" s="48">
        <f t="shared" si="19"/>
        <v>95.469387536842703</v>
      </c>
      <c r="AY32" s="48">
        <f t="shared" si="20"/>
        <v>4.4976223360341532</v>
      </c>
      <c r="AZ32" s="50">
        <f t="shared" si="21"/>
        <v>9.4450069056717205E-3</v>
      </c>
      <c r="BA32" s="54">
        <f t="shared" si="22"/>
        <v>3.2990127123146196E-2</v>
      </c>
      <c r="BB32" s="50">
        <f t="shared" si="23"/>
        <v>6.9279266958607007E-5</v>
      </c>
      <c r="BC32" s="50">
        <f t="shared" si="24"/>
        <v>1.7942639741636235E-4</v>
      </c>
      <c r="BD32" s="50">
        <f t="shared" si="25"/>
        <v>3.7679543457436091E-7</v>
      </c>
      <c r="BE32" s="50">
        <f t="shared" si="26"/>
        <v>4.2277554790364035E-5</v>
      </c>
      <c r="BF32" s="50">
        <f t="shared" si="27"/>
        <v>5.5486148755528317E-6</v>
      </c>
      <c r="BG32" s="31"/>
      <c r="BH32" s="31"/>
      <c r="BI32" s="68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1:70" ht="19.5" customHeight="1">
      <c r="A33" s="37"/>
      <c r="B33" s="237" t="s">
        <v>33</v>
      </c>
      <c r="C33" s="38"/>
      <c r="D33" s="39">
        <v>267.42980646243399</v>
      </c>
      <c r="E33" s="40"/>
      <c r="F33" s="41">
        <v>185.83302897209001</v>
      </c>
      <c r="G33" s="42"/>
      <c r="H33" s="43">
        <v>202731.79381785999</v>
      </c>
      <c r="I33" s="43">
        <v>470120.71426593798</v>
      </c>
      <c r="J33" s="44">
        <f t="shared" si="0"/>
        <v>0.43123348464747424</v>
      </c>
      <c r="K33" s="45"/>
      <c r="L33" s="43">
        <v>7292.69078061037</v>
      </c>
      <c r="M33" s="43">
        <v>356044.95659086201</v>
      </c>
      <c r="N33" s="44">
        <f t="shared" si="1"/>
        <v>2.0482499879897299E-2</v>
      </c>
      <c r="O33" s="45"/>
      <c r="P33" s="39">
        <v>8899.9592473273606</v>
      </c>
      <c r="Q33" s="39">
        <v>245127.46486687599</v>
      </c>
      <c r="R33" s="46">
        <f t="shared" si="2"/>
        <v>3.6307474775055325E-2</v>
      </c>
      <c r="S33" s="47"/>
      <c r="T33" s="43">
        <v>6522.7046034057403</v>
      </c>
      <c r="U33" s="39">
        <v>3155.3036240812398</v>
      </c>
      <c r="V33" s="27">
        <f t="shared" si="3"/>
        <v>2.0672193172234001</v>
      </c>
      <c r="W33" s="47"/>
      <c r="X33" s="39">
        <v>40408.823633440901</v>
      </c>
      <c r="Y33" s="39">
        <v>320816.549278747</v>
      </c>
      <c r="Z33" s="27">
        <f t="shared" si="4"/>
        <v>0.12595616941921223</v>
      </c>
      <c r="AA33" s="27"/>
      <c r="AB33" s="27"/>
      <c r="AC33" s="237" t="s">
        <v>33</v>
      </c>
      <c r="AD33" s="49">
        <v>39</v>
      </c>
      <c r="AE33" s="50">
        <f t="shared" si="5"/>
        <v>29.270182127290294</v>
      </c>
      <c r="AF33" s="50">
        <f t="shared" si="6"/>
        <v>0.20993341202608662</v>
      </c>
      <c r="AG33" s="50">
        <f t="shared" si="7"/>
        <v>1.4809278476755204E-3</v>
      </c>
      <c r="AH33" s="51">
        <f t="shared" si="8"/>
        <v>9.4556004010683842E-2</v>
      </c>
      <c r="AI33" s="50">
        <f t="shared" si="9"/>
        <v>1.4817441476318865E-2</v>
      </c>
      <c r="AJ33" s="31"/>
      <c r="AK33" s="31"/>
      <c r="AL33" s="39">
        <f t="shared" si="10"/>
        <v>632.04983115921902</v>
      </c>
      <c r="AM33" s="52">
        <f t="shared" si="11"/>
        <v>834.38449584421983</v>
      </c>
      <c r="AN33" s="33"/>
      <c r="AO33" s="53">
        <f t="shared" si="12"/>
        <v>132.01245451073157</v>
      </c>
      <c r="AP33" s="48">
        <f t="shared" si="13"/>
        <v>4.6309927927054337</v>
      </c>
      <c r="AQ33" s="54">
        <f t="shared" si="14"/>
        <v>3.3214693158141594E-2</v>
      </c>
      <c r="AR33" s="50">
        <f t="shared" si="15"/>
        <v>2.3430555229473059E-4</v>
      </c>
      <c r="AS33" s="50">
        <f t="shared" si="16"/>
        <v>1.4960213475140432E-2</v>
      </c>
      <c r="AT33" s="50">
        <f t="shared" si="17"/>
        <v>4.9231287734386017E-6</v>
      </c>
      <c r="AU33" s="39">
        <f t="shared" si="18"/>
        <v>136.67666199659513</v>
      </c>
      <c r="AV33" s="31"/>
      <c r="AW33" s="237" t="s">
        <v>33</v>
      </c>
      <c r="AX33" s="48">
        <f t="shared" si="19"/>
        <v>96.587414838987101</v>
      </c>
      <c r="AY33" s="48">
        <f t="shared" si="20"/>
        <v>3.3882835043343391</v>
      </c>
      <c r="AZ33" s="50">
        <f t="shared" si="21"/>
        <v>7.1153953591021118E-3</v>
      </c>
      <c r="BA33" s="54">
        <f t="shared" si="22"/>
        <v>2.4301656678569625E-2</v>
      </c>
      <c r="BB33" s="50">
        <f t="shared" si="23"/>
        <v>5.1033479024996214E-5</v>
      </c>
      <c r="BC33" s="50">
        <f t="shared" si="24"/>
        <v>1.7143054920419959E-4</v>
      </c>
      <c r="BD33" s="50">
        <f t="shared" si="25"/>
        <v>3.6000415332881911E-7</v>
      </c>
      <c r="BE33" s="50">
        <f t="shared" si="26"/>
        <v>2.2985963981603201E-5</v>
      </c>
      <c r="BF33" s="50">
        <f t="shared" si="27"/>
        <v>3.6020259066330184E-6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</row>
    <row r="34" spans="1:70" ht="19.5" customHeight="1">
      <c r="A34" s="37"/>
      <c r="B34" s="237" t="s">
        <v>34</v>
      </c>
      <c r="C34" s="38"/>
      <c r="D34" s="39">
        <v>388.148216251603</v>
      </c>
      <c r="E34" s="40"/>
      <c r="F34" s="41">
        <v>189.57230590107099</v>
      </c>
      <c r="G34" s="42"/>
      <c r="H34" s="43">
        <v>606331.14673001296</v>
      </c>
      <c r="I34" s="43">
        <v>913181.04126149998</v>
      </c>
      <c r="J34" s="44">
        <f t="shared" si="0"/>
        <v>0.66397693264898061</v>
      </c>
      <c r="K34" s="45"/>
      <c r="L34" s="43">
        <v>6503.9474781151803</v>
      </c>
      <c r="M34" s="43">
        <v>442510.36276767298</v>
      </c>
      <c r="N34" s="44">
        <f t="shared" si="1"/>
        <v>1.4697842187098987E-2</v>
      </c>
      <c r="O34" s="45"/>
      <c r="P34" s="39">
        <v>7817.3016007864098</v>
      </c>
      <c r="Q34" s="39">
        <v>233495.42632257601</v>
      </c>
      <c r="R34" s="46">
        <f t="shared" si="2"/>
        <v>3.347946349058991E-2</v>
      </c>
      <c r="S34" s="47"/>
      <c r="T34" s="43">
        <v>10932.335704700799</v>
      </c>
      <c r="U34" s="39">
        <v>13253.680495677299</v>
      </c>
      <c r="V34" s="27">
        <f t="shared" si="3"/>
        <v>0.82485281792226628</v>
      </c>
      <c r="W34" s="47"/>
      <c r="X34" s="39">
        <v>172626.500522282</v>
      </c>
      <c r="Y34" s="39">
        <v>352874.56280109502</v>
      </c>
      <c r="Z34" s="27">
        <f t="shared" si="4"/>
        <v>0.48920074927471174</v>
      </c>
      <c r="AA34" s="27"/>
      <c r="AB34" s="27"/>
      <c r="AC34" s="237" t="s">
        <v>34</v>
      </c>
      <c r="AD34" s="49">
        <v>39</v>
      </c>
      <c r="AE34" s="50">
        <f t="shared" si="5"/>
        <v>45.054190158830316</v>
      </c>
      <c r="AF34" s="50">
        <f t="shared" si="6"/>
        <v>0.16024974902847006</v>
      </c>
      <c r="AG34" s="50">
        <f t="shared" si="7"/>
        <v>1.3717707897961643E-3</v>
      </c>
      <c r="AH34" s="51">
        <f t="shared" si="8"/>
        <v>3.8062183551264832E-2</v>
      </c>
      <c r="AI34" s="50">
        <f t="shared" si="9"/>
        <v>5.708630607424213E-2</v>
      </c>
      <c r="AJ34" s="31"/>
      <c r="AK34" s="31"/>
      <c r="AL34" s="39">
        <f t="shared" si="10"/>
        <v>917.52441712851873</v>
      </c>
      <c r="AM34" s="52">
        <f t="shared" si="11"/>
        <v>851.17119232417235</v>
      </c>
      <c r="AN34" s="33"/>
      <c r="AO34" s="53">
        <f t="shared" si="12"/>
        <v>92.768233349908527</v>
      </c>
      <c r="AP34" s="48">
        <f t="shared" si="13"/>
        <v>4.9104077578482057</v>
      </c>
      <c r="AQ34" s="54">
        <f t="shared" si="14"/>
        <v>1.7465447898377149E-2</v>
      </c>
      <c r="AR34" s="50">
        <f t="shared" si="15"/>
        <v>1.4950782389958116E-4</v>
      </c>
      <c r="AS34" s="50">
        <f t="shared" si="16"/>
        <v>4.1483564732134447E-3</v>
      </c>
      <c r="AT34" s="50">
        <f t="shared" si="17"/>
        <v>1.3065727790775138E-5</v>
      </c>
      <c r="AU34" s="39">
        <f t="shared" si="18"/>
        <v>97.696106555655106</v>
      </c>
      <c r="AV34" s="31"/>
      <c r="AW34" s="237" t="s">
        <v>34</v>
      </c>
      <c r="AX34" s="48">
        <f t="shared" si="19"/>
        <v>94.955916484819909</v>
      </c>
      <c r="AY34" s="48">
        <f t="shared" si="20"/>
        <v>5.0262061928239339</v>
      </c>
      <c r="AZ34" s="50">
        <f t="shared" si="21"/>
        <v>1.0555033004930259E-2</v>
      </c>
      <c r="BA34" s="54">
        <f t="shared" si="22"/>
        <v>1.7877322356165244E-2</v>
      </c>
      <c r="BB34" s="50">
        <f t="shared" si="23"/>
        <v>3.7542376947947012E-5</v>
      </c>
      <c r="BC34" s="50">
        <f t="shared" si="24"/>
        <v>1.5303355391589754E-4</v>
      </c>
      <c r="BD34" s="50">
        <f t="shared" si="25"/>
        <v>3.2137046322338478E-7</v>
      </c>
      <c r="BE34" s="50">
        <f t="shared" si="26"/>
        <v>8.9169864602387972E-6</v>
      </c>
      <c r="BF34" s="50">
        <f t="shared" si="27"/>
        <v>1.3373846974476828E-5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</row>
    <row r="35" spans="1:70" ht="19.5" customHeight="1">
      <c r="A35" s="37"/>
      <c r="B35" s="237" t="s">
        <v>34</v>
      </c>
      <c r="C35" s="38"/>
      <c r="D35" s="39">
        <v>302.16697123555099</v>
      </c>
      <c r="E35" s="40"/>
      <c r="F35" s="41">
        <v>155.36275834390099</v>
      </c>
      <c r="G35" s="42"/>
      <c r="H35" s="43">
        <v>233457.27727646101</v>
      </c>
      <c r="I35" s="43">
        <v>469463.40665595501</v>
      </c>
      <c r="J35" s="44">
        <f t="shared" si="0"/>
        <v>0.49728535593307605</v>
      </c>
      <c r="K35" s="45"/>
      <c r="L35" s="43">
        <v>7896.8164925770197</v>
      </c>
      <c r="M35" s="43">
        <v>355962.20185078803</v>
      </c>
      <c r="N35" s="44">
        <f t="shared" si="1"/>
        <v>2.2184424221218864E-2</v>
      </c>
      <c r="O35" s="45"/>
      <c r="P35" s="39">
        <v>5975.4174456518203</v>
      </c>
      <c r="Q35" s="39">
        <v>221670.73940617201</v>
      </c>
      <c r="R35" s="46">
        <f t="shared" si="2"/>
        <v>2.6956275156834911E-2</v>
      </c>
      <c r="S35" s="47"/>
      <c r="T35" s="43">
        <v>6614.9205081827304</v>
      </c>
      <c r="U35" s="39">
        <v>3508.8859694173698</v>
      </c>
      <c r="V35" s="27">
        <f t="shared" si="3"/>
        <v>1.885191073701691</v>
      </c>
      <c r="W35" s="47"/>
      <c r="X35" s="39">
        <v>37470.526218172701</v>
      </c>
      <c r="Y35" s="39">
        <v>330195.64014823502</v>
      </c>
      <c r="Z35" s="27">
        <f t="shared" si="4"/>
        <v>0.11347977278364738</v>
      </c>
      <c r="AA35" s="27"/>
      <c r="AB35" s="27"/>
      <c r="AC35" s="237" t="s">
        <v>34</v>
      </c>
      <c r="AD35" s="49">
        <v>39</v>
      </c>
      <c r="AE35" s="50">
        <f t="shared" si="5"/>
        <v>33.749634828633098</v>
      </c>
      <c r="AF35" s="50">
        <f t="shared" si="6"/>
        <v>0.22455101602483873</v>
      </c>
      <c r="AG35" s="50">
        <f t="shared" si="7"/>
        <v>1.1199853565424084E-3</v>
      </c>
      <c r="AH35" s="51">
        <f t="shared" si="8"/>
        <v>8.6278679313146076E-2</v>
      </c>
      <c r="AI35" s="50">
        <f t="shared" si="9"/>
        <v>1.3365628705241968E-2</v>
      </c>
      <c r="AJ35" s="31"/>
      <c r="AK35" s="31"/>
      <c r="AL35" s="39">
        <f t="shared" si="10"/>
        <v>714.19618935489041</v>
      </c>
      <c r="AM35" s="52">
        <f t="shared" si="11"/>
        <v>697.59463127625565</v>
      </c>
      <c r="AN35" s="33"/>
      <c r="AO35" s="53">
        <f t="shared" si="12"/>
        <v>97.675490526821434</v>
      </c>
      <c r="AP35" s="48">
        <f t="shared" si="13"/>
        <v>4.7255411512511731</v>
      </c>
      <c r="AQ35" s="54">
        <f t="shared" si="14"/>
        <v>3.1441082908558807E-2</v>
      </c>
      <c r="AR35" s="50">
        <f t="shared" si="15"/>
        <v>1.5681760463522688E-4</v>
      </c>
      <c r="AS35" s="50">
        <f t="shared" si="16"/>
        <v>1.2080529215799754E-2</v>
      </c>
      <c r="AT35" s="50">
        <f t="shared" si="17"/>
        <v>3.9299874039318046E-6</v>
      </c>
      <c r="AU35" s="39">
        <f t="shared" si="18"/>
        <v>102.43247276098117</v>
      </c>
      <c r="AV35" s="31"/>
      <c r="AW35" s="237" t="s">
        <v>34</v>
      </c>
      <c r="AX35" s="48">
        <f t="shared" si="19"/>
        <v>95.355982233036769</v>
      </c>
      <c r="AY35" s="48">
        <f t="shared" si="20"/>
        <v>4.6133233181609157</v>
      </c>
      <c r="AZ35" s="50">
        <f t="shared" si="21"/>
        <v>9.6879789681379239E-3</v>
      </c>
      <c r="BA35" s="54">
        <f t="shared" si="22"/>
        <v>3.0694448802309319E-2</v>
      </c>
      <c r="BB35" s="50">
        <f t="shared" si="23"/>
        <v>6.4458342484849574E-5</v>
      </c>
      <c r="BC35" s="50">
        <f t="shared" si="24"/>
        <v>1.530936434592861E-4</v>
      </c>
      <c r="BD35" s="50">
        <f t="shared" si="25"/>
        <v>3.214966512645008E-7</v>
      </c>
      <c r="BE35" s="50">
        <f t="shared" si="26"/>
        <v>2.476666887889789E-5</v>
      </c>
      <c r="BF35" s="50">
        <f t="shared" si="27"/>
        <v>3.8366616542608989E-6</v>
      </c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</row>
    <row r="36" spans="1:70" ht="19.5" customHeight="1">
      <c r="A36" s="37"/>
      <c r="B36" s="237" t="s">
        <v>34</v>
      </c>
      <c r="C36" s="38"/>
      <c r="D36" s="39">
        <v>285.63018978212102</v>
      </c>
      <c r="E36" s="40"/>
      <c r="F36" s="41">
        <v>167.09504101587601</v>
      </c>
      <c r="G36" s="42"/>
      <c r="H36" s="43">
        <v>223817.76246905199</v>
      </c>
      <c r="I36" s="43">
        <v>433759.83689381997</v>
      </c>
      <c r="J36" s="44">
        <f t="shared" si="0"/>
        <v>0.51599466670732896</v>
      </c>
      <c r="K36" s="45"/>
      <c r="L36" s="43">
        <v>5311.79914084138</v>
      </c>
      <c r="M36" s="43">
        <v>333662.67248862598</v>
      </c>
      <c r="N36" s="44">
        <f t="shared" si="1"/>
        <v>1.5919668511983315E-2</v>
      </c>
      <c r="O36" s="45"/>
      <c r="P36" s="39">
        <v>5167.4233794184702</v>
      </c>
      <c r="Q36" s="39">
        <v>177457.526506914</v>
      </c>
      <c r="R36" s="46">
        <f t="shared" si="2"/>
        <v>2.911921224832997E-2</v>
      </c>
      <c r="S36" s="47"/>
      <c r="T36" s="43">
        <v>6896.2680934350501</v>
      </c>
      <c r="U36" s="39">
        <v>2014.1068493999901</v>
      </c>
      <c r="V36" s="27">
        <f t="shared" si="3"/>
        <v>3.423983238768824</v>
      </c>
      <c r="W36" s="47"/>
      <c r="X36" s="39">
        <v>31621.360228282101</v>
      </c>
      <c r="Y36" s="39">
        <v>285735.67652810802</v>
      </c>
      <c r="Z36" s="27">
        <f t="shared" si="4"/>
        <v>0.11066647543808372</v>
      </c>
      <c r="AA36" s="27"/>
      <c r="AB36" s="27"/>
      <c r="AC36" s="237" t="s">
        <v>34</v>
      </c>
      <c r="AD36" s="49">
        <v>39</v>
      </c>
      <c r="AE36" s="50">
        <f t="shared" si="5"/>
        <v>35.018447824492277</v>
      </c>
      <c r="AF36" s="50">
        <f t="shared" si="6"/>
        <v>0.17074385440012316</v>
      </c>
      <c r="AG36" s="50">
        <f t="shared" si="7"/>
        <v>1.2034715330589787E-3</v>
      </c>
      <c r="AH36" s="51">
        <f t="shared" si="8"/>
        <v>0.15625178978140572</v>
      </c>
      <c r="AI36" s="50">
        <f t="shared" si="9"/>
        <v>1.3038260063924233E-2</v>
      </c>
      <c r="AJ36" s="31"/>
      <c r="AK36" s="31"/>
      <c r="AL36" s="39">
        <f t="shared" si="10"/>
        <v>675.09005097113015</v>
      </c>
      <c r="AM36" s="52">
        <f t="shared" si="11"/>
        <v>750.26424413777806</v>
      </c>
      <c r="AN36" s="33"/>
      <c r="AO36" s="53">
        <f t="shared" si="12"/>
        <v>111.13543194104378</v>
      </c>
      <c r="AP36" s="48">
        <f t="shared" si="13"/>
        <v>5.1872261743625998</v>
      </c>
      <c r="AQ36" s="54">
        <f t="shared" si="14"/>
        <v>2.5292011658963841E-2</v>
      </c>
      <c r="AR36" s="50">
        <f t="shared" si="15"/>
        <v>1.7826829640397773E-4</v>
      </c>
      <c r="AS36" s="50">
        <f t="shared" si="16"/>
        <v>2.3145325509779692E-2</v>
      </c>
      <c r="AT36" s="50">
        <f t="shared" si="17"/>
        <v>4.055806494978519E-6</v>
      </c>
      <c r="AU36" s="39">
        <f t="shared" si="18"/>
        <v>116.34795012706533</v>
      </c>
      <c r="AV36" s="31"/>
      <c r="AW36" s="237" t="s">
        <v>34</v>
      </c>
      <c r="AX36" s="48">
        <f t="shared" si="19"/>
        <v>95.519888248715262</v>
      </c>
      <c r="AY36" s="48">
        <f t="shared" si="20"/>
        <v>4.4583734983706655</v>
      </c>
      <c r="AZ36" s="50">
        <f t="shared" si="21"/>
        <v>9.3625843465783981E-3</v>
      </c>
      <c r="BA36" s="54">
        <f t="shared" si="22"/>
        <v>2.1738252914075457E-2</v>
      </c>
      <c r="BB36" s="50">
        <f t="shared" si="23"/>
        <v>4.565033111955846E-5</v>
      </c>
      <c r="BC36" s="50">
        <f t="shared" si="24"/>
        <v>1.5321997182527776E-4</v>
      </c>
      <c r="BD36" s="50">
        <f t="shared" si="25"/>
        <v>3.2176194083308331E-7</v>
      </c>
      <c r="BE36" s="50">
        <f t="shared" si="26"/>
        <v>4.1775711146999075E-5</v>
      </c>
      <c r="BF36" s="50">
        <f t="shared" si="27"/>
        <v>3.4859286223342246E-6</v>
      </c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ht="19.5" customHeight="1">
      <c r="A37" s="37"/>
      <c r="B37" s="237" t="s">
        <v>115</v>
      </c>
      <c r="C37" s="38"/>
      <c r="D37" s="39">
        <v>254.85694715782799</v>
      </c>
      <c r="E37" s="40"/>
      <c r="F37" s="41">
        <v>141.912407867832</v>
      </c>
      <c r="G37" s="42"/>
      <c r="H37" s="43">
        <v>197900.424593137</v>
      </c>
      <c r="I37" s="43">
        <v>408693.09314166597</v>
      </c>
      <c r="J37" s="44">
        <f t="shared" si="0"/>
        <v>0.48422747512529762</v>
      </c>
      <c r="K37" s="45"/>
      <c r="L37" s="43">
        <v>7112.37119898736</v>
      </c>
      <c r="M37" s="43">
        <v>331803.02966593998</v>
      </c>
      <c r="N37" s="44">
        <f t="shared" si="1"/>
        <v>2.1435522171536863E-2</v>
      </c>
      <c r="O37" s="45"/>
      <c r="P37" s="39">
        <v>5873.8088026206196</v>
      </c>
      <c r="Q37" s="39">
        <v>220534.90524049001</v>
      </c>
      <c r="R37" s="46">
        <f t="shared" si="2"/>
        <v>2.6634372441928497E-2</v>
      </c>
      <c r="S37" s="47"/>
      <c r="T37" s="43">
        <v>6482.3557844855804</v>
      </c>
      <c r="U37" s="39">
        <v>3134.0935532078902</v>
      </c>
      <c r="V37" s="27">
        <f t="shared" si="3"/>
        <v>2.0683351260687761</v>
      </c>
      <c r="W37" s="47"/>
      <c r="X37" s="39">
        <v>48989.348081633398</v>
      </c>
      <c r="Y37" s="39">
        <v>226569.83673996199</v>
      </c>
      <c r="Z37" s="27">
        <f t="shared" si="4"/>
        <v>0.21622184482508719</v>
      </c>
      <c r="AA37" s="27"/>
      <c r="AB37" s="27"/>
      <c r="AC37" s="237" t="s">
        <v>115</v>
      </c>
      <c r="AD37" s="49">
        <v>39</v>
      </c>
      <c r="AE37" s="50">
        <f t="shared" si="5"/>
        <v>32.864085966507737</v>
      </c>
      <c r="AF37" s="50">
        <f t="shared" si="6"/>
        <v>0.21811879496170694</v>
      </c>
      <c r="AG37" s="50">
        <f t="shared" si="7"/>
        <v>1.1075603872802353E-3</v>
      </c>
      <c r="AH37" s="51">
        <f t="shared" si="8"/>
        <v>9.4606742906664362E-2</v>
      </c>
      <c r="AI37" s="50">
        <f t="shared" si="9"/>
        <v>2.5321184197239343E-2</v>
      </c>
      <c r="AJ37" s="31"/>
      <c r="AK37" s="31"/>
      <c r="AL37" s="39">
        <f t="shared" si="10"/>
        <v>602.31756571021958</v>
      </c>
      <c r="AM37" s="52">
        <f t="shared" si="11"/>
        <v>637.21211474189283</v>
      </c>
      <c r="AN37" s="33"/>
      <c r="AO37" s="53">
        <f t="shared" si="12"/>
        <v>105.79338060488533</v>
      </c>
      <c r="AP37" s="48">
        <f t="shared" si="13"/>
        <v>5.456272212110604</v>
      </c>
      <c r="AQ37" s="54">
        <f t="shared" si="14"/>
        <v>3.6213254830865391E-2</v>
      </c>
      <c r="AR37" s="50">
        <f t="shared" si="15"/>
        <v>1.8388312915534205E-4</v>
      </c>
      <c r="AS37" s="50">
        <f t="shared" si="16"/>
        <v>1.5707120013195915E-2</v>
      </c>
      <c r="AT37" s="50">
        <f t="shared" si="17"/>
        <v>8.8283141388218033E-6</v>
      </c>
      <c r="AU37" s="39">
        <f t="shared" si="18"/>
        <v>111.2858660718268</v>
      </c>
      <c r="AV37" s="31"/>
      <c r="AW37" s="237" t="s">
        <v>115</v>
      </c>
      <c r="AX37" s="48">
        <f t="shared" si="19"/>
        <v>95.064525567517734</v>
      </c>
      <c r="AY37" s="48">
        <f t="shared" si="20"/>
        <v>4.9029336830509846</v>
      </c>
      <c r="AZ37" s="50">
        <f t="shared" si="21"/>
        <v>1.0296160734407069E-2</v>
      </c>
      <c r="BA37" s="54">
        <f t="shared" si="22"/>
        <v>3.254074943128215E-2</v>
      </c>
      <c r="BB37" s="50">
        <f t="shared" si="23"/>
        <v>6.8335573805692511E-5</v>
      </c>
      <c r="BC37" s="50">
        <f t="shared" si="24"/>
        <v>1.6523493561766331E-4</v>
      </c>
      <c r="BD37" s="50">
        <f t="shared" si="25"/>
        <v>3.4699336479709298E-7</v>
      </c>
      <c r="BE37" s="50">
        <f t="shared" si="26"/>
        <v>2.9639839444141157E-5</v>
      </c>
      <c r="BF37" s="50">
        <f t="shared" si="27"/>
        <v>7.9330057359878736E-6</v>
      </c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</row>
    <row r="38" spans="1:70" ht="19.5" customHeight="1">
      <c r="A38" s="37"/>
      <c r="B38" s="237" t="s">
        <v>115</v>
      </c>
      <c r="C38" s="38"/>
      <c r="D38" s="39">
        <v>381.95430235263802</v>
      </c>
      <c r="E38" s="40"/>
      <c r="F38" s="41">
        <v>215.930594748169</v>
      </c>
      <c r="G38" s="42"/>
      <c r="H38" s="43">
        <v>232344.08596559201</v>
      </c>
      <c r="I38" s="43">
        <v>406635.55166977999</v>
      </c>
      <c r="J38" s="44">
        <f t="shared" si="0"/>
        <v>0.57138163402464537</v>
      </c>
      <c r="K38" s="45"/>
      <c r="L38" s="43">
        <v>7138.0986117422599</v>
      </c>
      <c r="M38" s="43">
        <v>299902.42476282403</v>
      </c>
      <c r="N38" s="44">
        <f t="shared" si="1"/>
        <v>2.3801403464434743E-2</v>
      </c>
      <c r="O38" s="45"/>
      <c r="P38" s="39">
        <v>7358.8067768763904</v>
      </c>
      <c r="Q38" s="39">
        <v>260048.89740074001</v>
      </c>
      <c r="R38" s="46">
        <f t="shared" si="2"/>
        <v>2.8297781111282071E-2</v>
      </c>
      <c r="S38" s="47"/>
      <c r="T38" s="43">
        <v>8083.1123134600202</v>
      </c>
      <c r="U38" s="39">
        <v>1949.28126692875</v>
      </c>
      <c r="V38" s="27">
        <f t="shared" si="3"/>
        <v>4.1467142020995338</v>
      </c>
      <c r="W38" s="47"/>
      <c r="X38" s="39">
        <v>88992.264884681703</v>
      </c>
      <c r="Y38" s="39">
        <v>304683.71156985301</v>
      </c>
      <c r="Z38" s="27">
        <f t="shared" si="4"/>
        <v>0.29208080873820846</v>
      </c>
      <c r="AA38" s="27"/>
      <c r="AB38" s="27"/>
      <c r="AC38" s="237" t="s">
        <v>115</v>
      </c>
      <c r="AD38" s="49">
        <v>39</v>
      </c>
      <c r="AE38" s="50">
        <f t="shared" si="5"/>
        <v>38.774636643064341</v>
      </c>
      <c r="AF38" s="50">
        <f t="shared" si="6"/>
        <v>0.23843903776449948</v>
      </c>
      <c r="AG38" s="50">
        <f t="shared" si="7"/>
        <v>1.1717655046342751E-3</v>
      </c>
      <c r="AH38" s="51">
        <f t="shared" si="8"/>
        <v>0.18911635374528921</v>
      </c>
      <c r="AI38" s="50">
        <f t="shared" si="9"/>
        <v>3.4148493541973461E-2</v>
      </c>
      <c r="AJ38" s="31"/>
      <c r="AK38" s="31"/>
      <c r="AL38" s="39">
        <f t="shared" si="10"/>
        <v>902.87706542031924</v>
      </c>
      <c r="AM38" s="52">
        <f t="shared" si="11"/>
        <v>969.50118045044167</v>
      </c>
      <c r="AN38" s="33"/>
      <c r="AO38" s="53">
        <f t="shared" si="12"/>
        <v>107.37909041903802</v>
      </c>
      <c r="AP38" s="48">
        <f t="shared" si="13"/>
        <v>4.2945643574425558</v>
      </c>
      <c r="AQ38" s="54">
        <f t="shared" si="14"/>
        <v>2.6408804354056573E-2</v>
      </c>
      <c r="AR38" s="50">
        <f t="shared" si="15"/>
        <v>1.2978129022346794E-4</v>
      </c>
      <c r="AS38" s="50">
        <f t="shared" si="16"/>
        <v>2.0945969389226788E-2</v>
      </c>
      <c r="AT38" s="50">
        <f t="shared" si="17"/>
        <v>7.9425914318423869E-6</v>
      </c>
      <c r="AU38" s="39">
        <f t="shared" si="18"/>
        <v>111.70006358083464</v>
      </c>
      <c r="AV38" s="31"/>
      <c r="AW38" s="237" t="s">
        <v>115</v>
      </c>
      <c r="AX38" s="48">
        <f t="shared" si="19"/>
        <v>96.13162873567245</v>
      </c>
      <c r="AY38" s="48">
        <f t="shared" si="20"/>
        <v>3.8447286597421524</v>
      </c>
      <c r="AZ38" s="50">
        <f t="shared" si="21"/>
        <v>8.0739301854585201E-3</v>
      </c>
      <c r="BA38" s="54">
        <f t="shared" si="22"/>
        <v>2.3642604585399504E-2</v>
      </c>
      <c r="BB38" s="50">
        <f t="shared" si="23"/>
        <v>4.9649469629338963E-5</v>
      </c>
      <c r="BC38" s="50">
        <f t="shared" si="24"/>
        <v>1.161873020148716E-4</v>
      </c>
      <c r="BD38" s="50">
        <f t="shared" si="25"/>
        <v>2.4399333423123033E-7</v>
      </c>
      <c r="BE38" s="50">
        <f t="shared" si="26"/>
        <v>3.9379150116189739E-5</v>
      </c>
      <c r="BF38" s="50">
        <f t="shared" si="27"/>
        <v>7.1106418181172523E-6</v>
      </c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</row>
    <row r="39" spans="1:70" ht="19.5" customHeight="1">
      <c r="A39" s="37"/>
      <c r="B39" s="237" t="s">
        <v>115</v>
      </c>
      <c r="C39" s="38"/>
      <c r="D39" s="39">
        <v>317.83488422434198</v>
      </c>
      <c r="E39" s="40"/>
      <c r="F39" s="41">
        <v>157.97207850801499</v>
      </c>
      <c r="G39" s="42"/>
      <c r="H39" s="43">
        <v>646512.323902359</v>
      </c>
      <c r="I39" s="43">
        <v>1362527.17986291</v>
      </c>
      <c r="J39" s="44">
        <f t="shared" si="0"/>
        <v>0.474494992435606</v>
      </c>
      <c r="K39" s="45"/>
      <c r="L39" s="43">
        <v>5486.2923897517203</v>
      </c>
      <c r="M39" s="43">
        <v>376301.62718555302</v>
      </c>
      <c r="N39" s="44">
        <f t="shared" si="1"/>
        <v>1.4579507483889908E-2</v>
      </c>
      <c r="O39" s="45"/>
      <c r="P39" s="39">
        <v>7250.5526581583399</v>
      </c>
      <c r="Q39" s="39">
        <v>226166.25390518701</v>
      </c>
      <c r="R39" s="46">
        <f t="shared" si="2"/>
        <v>3.2058507991196174E-2</v>
      </c>
      <c r="S39" s="47"/>
      <c r="T39" s="43">
        <v>2093.3080849880098</v>
      </c>
      <c r="U39" s="39">
        <v>14824.269065189699</v>
      </c>
      <c r="V39" s="27">
        <f t="shared" si="3"/>
        <v>0.14120818205489194</v>
      </c>
      <c r="W39" s="47"/>
      <c r="X39" s="39">
        <v>49165.435181726498</v>
      </c>
      <c r="Y39" s="39">
        <v>374835.68835308199</v>
      </c>
      <c r="Z39" s="27">
        <f t="shared" si="4"/>
        <v>0.13116529911478012</v>
      </c>
      <c r="AA39" s="27"/>
      <c r="AB39" s="27"/>
      <c r="AC39" s="237" t="s">
        <v>115</v>
      </c>
      <c r="AD39" s="49">
        <v>39</v>
      </c>
      <c r="AE39" s="50">
        <f t="shared" si="5"/>
        <v>32.204056280344787</v>
      </c>
      <c r="AF39" s="50">
        <f t="shared" si="6"/>
        <v>0.15923338784905539</v>
      </c>
      <c r="AG39" s="50">
        <f t="shared" si="7"/>
        <v>1.3169240066367993E-3</v>
      </c>
      <c r="AH39" s="51">
        <f t="shared" si="8"/>
        <v>6.9749823602619065E-3</v>
      </c>
      <c r="AI39" s="50">
        <f t="shared" si="9"/>
        <v>1.5423600549256912E-2</v>
      </c>
      <c r="AJ39" s="31"/>
      <c r="AK39" s="31"/>
      <c r="AL39" s="39">
        <f t="shared" si="10"/>
        <v>751.2476298210936</v>
      </c>
      <c r="AM39" s="52">
        <f t="shared" si="11"/>
        <v>709.30862476909329</v>
      </c>
      <c r="AN39" s="33"/>
      <c r="AO39" s="53">
        <f t="shared" si="12"/>
        <v>94.417419318582347</v>
      </c>
      <c r="AP39" s="48">
        <f t="shared" si="13"/>
        <v>4.2867431459336576</v>
      </c>
      <c r="AQ39" s="54">
        <f t="shared" si="14"/>
        <v>2.1195858932290559E-2</v>
      </c>
      <c r="AR39" s="50">
        <f t="shared" si="15"/>
        <v>1.752982577729289E-4</v>
      </c>
      <c r="AS39" s="50">
        <f t="shared" si="16"/>
        <v>9.2845316023465777E-4</v>
      </c>
      <c r="AT39" s="50">
        <f t="shared" si="17"/>
        <v>4.3114360522046438E-6</v>
      </c>
      <c r="AU39" s="39">
        <f t="shared" si="18"/>
        <v>98.72535832344829</v>
      </c>
      <c r="AV39" s="31"/>
      <c r="AW39" s="237" t="s">
        <v>115</v>
      </c>
      <c r="AX39" s="48">
        <f t="shared" si="19"/>
        <v>95.636441256812574</v>
      </c>
      <c r="AY39" s="48">
        <f t="shared" si="20"/>
        <v>4.3420892248263554</v>
      </c>
      <c r="AZ39" s="50">
        <f t="shared" si="21"/>
        <v>9.1183873721353455E-3</v>
      </c>
      <c r="BA39" s="54">
        <f t="shared" si="22"/>
        <v>2.1469518361075753E-2</v>
      </c>
      <c r="BB39" s="50">
        <f t="shared" si="23"/>
        <v>4.5085988558259082E-5</v>
      </c>
      <c r="BC39" s="50">
        <f t="shared" si="24"/>
        <v>1.7756153104920539E-4</v>
      </c>
      <c r="BD39" s="50">
        <f t="shared" si="25"/>
        <v>3.7287921520333126E-7</v>
      </c>
      <c r="BE39" s="50">
        <f t="shared" si="26"/>
        <v>1.9749248517335542E-6</v>
      </c>
      <c r="BF39" s="50">
        <f t="shared" si="27"/>
        <v>4.3671009408538487E-6</v>
      </c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</row>
    <row r="40" spans="1:70" ht="19.5" customHeight="1">
      <c r="A40" s="57"/>
      <c r="B40" s="58"/>
      <c r="C40" s="59"/>
      <c r="D40" s="60"/>
      <c r="E40" s="40"/>
      <c r="F40" s="61"/>
      <c r="G40" s="42"/>
      <c r="H40" s="62"/>
      <c r="I40" s="62"/>
      <c r="J40" s="27"/>
      <c r="K40" s="45"/>
      <c r="L40" s="62"/>
      <c r="M40" s="61"/>
      <c r="N40" s="27"/>
      <c r="O40" s="45"/>
      <c r="P40" s="61"/>
      <c r="Q40" s="61"/>
      <c r="R40" s="46"/>
      <c r="S40" s="47"/>
      <c r="T40" s="62"/>
      <c r="U40" s="61"/>
      <c r="V40" s="27"/>
      <c r="W40" s="47"/>
      <c r="X40" s="61"/>
      <c r="Y40" s="61"/>
      <c r="Z40" s="27"/>
      <c r="AA40" s="27"/>
      <c r="AB40" s="61"/>
      <c r="AC40" s="61"/>
      <c r="AD40" s="61"/>
      <c r="AE40" s="61"/>
      <c r="AF40" s="61"/>
      <c r="AG40" s="61"/>
      <c r="AH40" s="63"/>
      <c r="AI40" s="64"/>
      <c r="AJ40" s="61"/>
      <c r="AK40" s="61"/>
      <c r="AL40" s="61"/>
      <c r="AM40" s="27"/>
      <c r="AN40" s="27"/>
      <c r="AO40" s="46"/>
      <c r="AP40" s="65"/>
      <c r="AQ40" s="65"/>
      <c r="AR40" s="65"/>
      <c r="AS40" s="31"/>
      <c r="AT40" s="61"/>
      <c r="AU40" s="66"/>
      <c r="AV40" s="27"/>
      <c r="AW40" s="27"/>
      <c r="AX40" s="65"/>
      <c r="AY40" s="46"/>
      <c r="AZ40" s="65"/>
      <c r="BA40" s="65"/>
      <c r="BB40" s="65"/>
      <c r="BC40" s="65"/>
      <c r="BD40" s="65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</row>
    <row r="41" spans="1:70" ht="19.5" customHeight="1">
      <c r="A41" s="31"/>
      <c r="B41" s="31"/>
      <c r="C41" s="31"/>
      <c r="D41" s="31"/>
      <c r="E41" s="31"/>
      <c r="F41" s="31"/>
      <c r="G41" s="31"/>
      <c r="H41" s="67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68"/>
      <c r="AC41" s="68"/>
      <c r="AD41" s="68"/>
      <c r="AE41" s="68"/>
      <c r="AF41" s="69"/>
      <c r="AG41" s="69"/>
      <c r="AH41" s="68"/>
      <c r="AI41" s="13"/>
      <c r="AJ41" s="13"/>
      <c r="AK41" s="13"/>
      <c r="AL41" s="68"/>
      <c r="AM41" s="68"/>
      <c r="AN41" s="68"/>
      <c r="AO41" s="68"/>
      <c r="AP41" s="70"/>
      <c r="AQ41" s="70"/>
      <c r="AR41" s="70"/>
      <c r="AS41" s="68"/>
      <c r="AT41" s="70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</row>
    <row r="42" spans="1:70" ht="19.5" customHeight="1">
      <c r="A42" s="71"/>
      <c r="B42" s="40"/>
      <c r="C42" s="40"/>
      <c r="D42" s="72"/>
      <c r="E42" s="71"/>
      <c r="F42" s="72"/>
      <c r="G42" s="71"/>
      <c r="H42" s="71"/>
      <c r="I42" s="73" t="s">
        <v>36</v>
      </c>
      <c r="J42" s="72">
        <f>AVERAGE(J4:J39)</f>
        <v>0.37632567036064685</v>
      </c>
      <c r="K42" s="71"/>
      <c r="L42" s="71"/>
      <c r="M42" s="73" t="s">
        <v>36</v>
      </c>
      <c r="N42" s="74">
        <f>AVERAGE(N4:N39)</f>
        <v>1.7732632910808302E-2</v>
      </c>
      <c r="O42" s="71"/>
      <c r="P42" s="71"/>
      <c r="Q42" s="73" t="s">
        <v>36</v>
      </c>
      <c r="R42" s="74">
        <f>AVERAGE(R4:R39)</f>
        <v>2.8963208840749419E-2</v>
      </c>
      <c r="S42" s="71"/>
      <c r="T42" s="71"/>
      <c r="U42" s="73" t="s">
        <v>36</v>
      </c>
      <c r="V42" s="72">
        <f>AVERAGE(V4:V39)</f>
        <v>2.0260602191903931</v>
      </c>
      <c r="W42" s="71"/>
      <c r="X42" s="71"/>
      <c r="Y42" s="73" t="s">
        <v>36</v>
      </c>
      <c r="Z42" s="72">
        <f>AVERAGE(Z4:Z39)</f>
        <v>0.15554686802953982</v>
      </c>
      <c r="AA42" s="72"/>
      <c r="AB42" s="31"/>
      <c r="AC42" s="31"/>
      <c r="AD42" s="31"/>
      <c r="AE42" s="31"/>
      <c r="AF42" s="75"/>
      <c r="AG42" s="75"/>
      <c r="AH42" s="31"/>
      <c r="AI42" s="2"/>
      <c r="AJ42" s="31"/>
      <c r="AK42" s="76" t="s">
        <v>37</v>
      </c>
      <c r="AL42" s="71">
        <v>17</v>
      </c>
      <c r="AM42" s="71">
        <v>3.5</v>
      </c>
      <c r="AN42" s="71"/>
      <c r="AO42" s="31"/>
      <c r="AP42" s="77"/>
      <c r="AQ42" s="77"/>
      <c r="AR42" s="77"/>
      <c r="AS42" s="31"/>
      <c r="AT42" s="77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</row>
    <row r="43" spans="1:70" ht="19.5" customHeight="1">
      <c r="A43" s="71"/>
      <c r="B43" s="40"/>
      <c r="C43" s="40"/>
      <c r="D43" s="72"/>
      <c r="E43" s="71"/>
      <c r="F43" s="72"/>
      <c r="G43" s="71"/>
      <c r="H43" s="71"/>
      <c r="I43" s="78" t="s">
        <v>38</v>
      </c>
      <c r="J43" s="72">
        <f>MAX(J4:J39)</f>
        <v>0.66397693264898061</v>
      </c>
      <c r="K43" s="71"/>
      <c r="L43" s="71"/>
      <c r="M43" s="78" t="s">
        <v>38</v>
      </c>
      <c r="N43" s="74">
        <f>MAX(N4:N39)</f>
        <v>2.9012239784103961E-2</v>
      </c>
      <c r="O43" s="71"/>
      <c r="P43" s="71"/>
      <c r="Q43" s="78" t="s">
        <v>38</v>
      </c>
      <c r="R43" s="74">
        <f>MAX(R4:R39)</f>
        <v>4.6544347973667778E-2</v>
      </c>
      <c r="S43" s="71"/>
      <c r="T43" s="71"/>
      <c r="U43" s="78" t="s">
        <v>38</v>
      </c>
      <c r="V43" s="72">
        <f>MAX(V4:V39)</f>
        <v>4.8415930658874462</v>
      </c>
      <c r="W43" s="71"/>
      <c r="X43" s="71"/>
      <c r="Y43" s="78" t="s">
        <v>38</v>
      </c>
      <c r="Z43" s="72">
        <f>MAX(Z4:Z39)</f>
        <v>0.48920074927471174</v>
      </c>
      <c r="AA43" s="72"/>
      <c r="AB43" s="31"/>
      <c r="AC43" s="31"/>
      <c r="AD43" s="31"/>
      <c r="AE43" s="31"/>
      <c r="AF43" s="31"/>
      <c r="AG43" s="31"/>
      <c r="AH43" s="31"/>
      <c r="AI43" s="31"/>
      <c r="AJ43" s="31"/>
      <c r="AK43" s="76" t="s">
        <v>39</v>
      </c>
      <c r="AL43" s="71">
        <v>4289</v>
      </c>
      <c r="AM43" s="71">
        <v>7751</v>
      </c>
      <c r="AN43" s="71"/>
      <c r="AO43" s="31"/>
      <c r="AP43" s="77"/>
      <c r="AQ43" s="77"/>
      <c r="AR43" s="77"/>
      <c r="AS43" s="31"/>
      <c r="AT43" s="77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</row>
    <row r="44" spans="1:70" ht="19.5" customHeight="1">
      <c r="A44" s="71"/>
      <c r="B44" s="40"/>
      <c r="C44" s="40"/>
      <c r="D44" s="72"/>
      <c r="E44" s="71"/>
      <c r="F44" s="72"/>
      <c r="G44" s="71"/>
      <c r="H44" s="71"/>
      <c r="I44" s="78" t="s">
        <v>40</v>
      </c>
      <c r="J44" s="72">
        <f>MIN(J4:J39)</f>
        <v>0.13651686351471559</v>
      </c>
      <c r="K44" s="71"/>
      <c r="L44" s="71"/>
      <c r="M44" s="78" t="s">
        <v>40</v>
      </c>
      <c r="N44" s="74">
        <f>MIN(N4:N39)</f>
        <v>9.2703537470309513E-3</v>
      </c>
      <c r="O44" s="71"/>
      <c r="P44" s="71"/>
      <c r="Q44" s="78" t="s">
        <v>40</v>
      </c>
      <c r="R44" s="74">
        <f>MIN(R4:R39)</f>
        <v>1.8267531736526635E-2</v>
      </c>
      <c r="S44" s="71"/>
      <c r="T44" s="71"/>
      <c r="U44" s="78" t="s">
        <v>40</v>
      </c>
      <c r="V44" s="72">
        <f>MIN(V4:V39)</f>
        <v>0.11689259794608614</v>
      </c>
      <c r="W44" s="71"/>
      <c r="X44" s="71"/>
      <c r="Y44" s="78" t="s">
        <v>40</v>
      </c>
      <c r="Z44" s="72">
        <f>MIN(Z4:Z39)</f>
        <v>6.1711255246591754E-2</v>
      </c>
      <c r="AA44" s="72"/>
      <c r="AB44" s="31"/>
      <c r="AC44" s="31"/>
      <c r="AD44" s="75"/>
      <c r="AE44" s="79" t="s">
        <v>41</v>
      </c>
      <c r="AF44" s="80" t="s">
        <v>42</v>
      </c>
      <c r="AG44" s="80" t="s">
        <v>43</v>
      </c>
      <c r="AH44" s="79" t="s">
        <v>42</v>
      </c>
      <c r="AI44" s="81"/>
      <c r="AJ44" s="31"/>
      <c r="AK44" s="31"/>
      <c r="AL44" s="31"/>
      <c r="AM44" s="77"/>
      <c r="AN44" s="77"/>
      <c r="AO44" s="77"/>
      <c r="AP44" s="77"/>
      <c r="AQ44" s="31"/>
      <c r="AR44" s="77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</row>
    <row r="45" spans="1:70" ht="19.5" customHeight="1">
      <c r="A45" s="71"/>
      <c r="B45" s="40"/>
      <c r="C45" s="40"/>
      <c r="D45" s="74"/>
      <c r="E45" s="71"/>
      <c r="F45" s="74"/>
      <c r="G45" s="71"/>
      <c r="H45" s="71"/>
      <c r="I45" s="78"/>
      <c r="J45" s="74"/>
      <c r="K45" s="71"/>
      <c r="L45" s="71"/>
      <c r="M45" s="78"/>
      <c r="N45" s="74"/>
      <c r="O45" s="71"/>
      <c r="P45" s="71"/>
      <c r="Q45" s="78"/>
      <c r="R45" s="74"/>
      <c r="S45" s="71"/>
      <c r="T45" s="71"/>
      <c r="U45" s="78"/>
      <c r="V45" s="74"/>
      <c r="W45" s="71"/>
      <c r="X45" s="71"/>
      <c r="Y45" s="78"/>
      <c r="Z45" s="74"/>
      <c r="AA45" s="74"/>
      <c r="AB45" s="31"/>
      <c r="AC45" s="31"/>
      <c r="AD45" s="75"/>
      <c r="AE45" s="75"/>
      <c r="AF45" s="31"/>
      <c r="AG45" s="2"/>
      <c r="AH45" s="2"/>
      <c r="AI45" s="2"/>
      <c r="AJ45" s="31"/>
      <c r="AK45" s="31"/>
      <c r="AL45" s="31"/>
      <c r="AM45" s="77"/>
      <c r="AN45" s="77"/>
      <c r="AO45" s="77"/>
      <c r="AP45" s="77"/>
      <c r="AQ45" s="31"/>
      <c r="AR45" s="77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ht="19.5" customHeight="1">
      <c r="A46" s="71"/>
      <c r="B46" s="40"/>
      <c r="C46" s="40"/>
      <c r="D46" s="82"/>
      <c r="E46" s="71"/>
      <c r="F46" s="82"/>
      <c r="G46" s="71"/>
      <c r="H46" s="71"/>
      <c r="I46" s="73" t="s">
        <v>44</v>
      </c>
      <c r="J46" s="74">
        <f>AVERAGE(J3)</f>
        <v>9.2311073821349553E-4</v>
      </c>
      <c r="K46" s="71"/>
      <c r="L46" s="71"/>
      <c r="M46" s="73" t="s">
        <v>44</v>
      </c>
      <c r="N46" s="74">
        <f>AVERAGE(N3)</f>
        <v>1.5517267305177713E-3</v>
      </c>
      <c r="O46" s="71"/>
      <c r="P46" s="71"/>
      <c r="Q46" s="73" t="s">
        <v>44</v>
      </c>
      <c r="R46" s="74">
        <f>AVERAGE(R3)</f>
        <v>1.3178479711179047E-3</v>
      </c>
      <c r="S46" s="71"/>
      <c r="T46" s="71"/>
      <c r="U46" s="73" t="s">
        <v>44</v>
      </c>
      <c r="V46" s="74">
        <f>AVERAGE(V3)</f>
        <v>8.4514143459478816E-2</v>
      </c>
      <c r="W46" s="71"/>
      <c r="X46" s="71"/>
      <c r="Y46" s="73" t="s">
        <v>44</v>
      </c>
      <c r="Z46" s="74">
        <f>AVERAGE(Z3)</f>
        <v>3.5619996605987803E-2</v>
      </c>
      <c r="AA46" s="74"/>
      <c r="AB46" s="31"/>
      <c r="AC46" s="31"/>
      <c r="AD46" s="75"/>
      <c r="AE46" s="31" t="s">
        <v>45</v>
      </c>
      <c r="AF46" s="75"/>
      <c r="AG46" s="75"/>
      <c r="AH46" s="31"/>
      <c r="AI46" s="2"/>
      <c r="AJ46" s="31"/>
      <c r="AK46" s="31"/>
      <c r="AL46" s="31"/>
      <c r="AM46" s="77"/>
      <c r="AN46" s="77"/>
      <c r="AO46" s="77"/>
      <c r="AP46" s="77"/>
      <c r="AQ46" s="31"/>
      <c r="AR46" s="77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</row>
    <row r="47" spans="1:70" ht="19.5" customHeight="1">
      <c r="A47" s="71"/>
      <c r="B47" s="71"/>
      <c r="C47" s="71"/>
      <c r="D47" s="71"/>
      <c r="E47" s="71"/>
      <c r="F47" s="71"/>
      <c r="G47" s="71"/>
      <c r="H47" s="71"/>
      <c r="I47" s="76" t="s">
        <v>46</v>
      </c>
      <c r="J47" s="74">
        <f>J46*3</f>
        <v>2.7693322146404866E-3</v>
      </c>
      <c r="K47" s="71"/>
      <c r="L47" s="71"/>
      <c r="M47" s="76" t="s">
        <v>46</v>
      </c>
      <c r="N47" s="74">
        <f>N46*3</f>
        <v>4.6551801915533141E-3</v>
      </c>
      <c r="O47" s="71"/>
      <c r="P47" s="71"/>
      <c r="Q47" s="76" t="s">
        <v>46</v>
      </c>
      <c r="R47" s="74">
        <f>R46*3</f>
        <v>3.9535439133537142E-3</v>
      </c>
      <c r="S47" s="71"/>
      <c r="T47" s="71"/>
      <c r="U47" s="76" t="s">
        <v>46</v>
      </c>
      <c r="V47" s="74">
        <f>V46*3</f>
        <v>0.25354243037843643</v>
      </c>
      <c r="W47" s="71"/>
      <c r="X47" s="71"/>
      <c r="Y47" s="76" t="s">
        <v>46</v>
      </c>
      <c r="Z47" s="74">
        <f>Z46*3</f>
        <v>0.10685998981796341</v>
      </c>
      <c r="AA47" s="74"/>
      <c r="AB47" s="31"/>
      <c r="AC47" s="31"/>
      <c r="AD47" s="75"/>
      <c r="AE47" s="3" t="s">
        <v>3</v>
      </c>
      <c r="AF47" s="5" t="s">
        <v>6</v>
      </c>
      <c r="AG47" s="5" t="s">
        <v>8</v>
      </c>
      <c r="AH47" s="5" t="s">
        <v>10</v>
      </c>
      <c r="AI47" s="3" t="s">
        <v>47</v>
      </c>
      <c r="AJ47" s="31"/>
      <c r="AK47" s="31"/>
      <c r="AL47" s="31"/>
      <c r="AM47" s="77"/>
      <c r="AN47" s="77"/>
      <c r="AO47" s="77"/>
      <c r="AP47" s="77"/>
      <c r="AQ47" s="31"/>
      <c r="AR47" s="77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</row>
    <row r="48" spans="1:70" ht="19.5" customHeight="1">
      <c r="A48" s="71"/>
      <c r="B48" s="31"/>
      <c r="C48" s="31"/>
      <c r="D48" s="31"/>
      <c r="E48" s="31"/>
      <c r="F48" s="31"/>
      <c r="G48" s="71"/>
      <c r="H48" s="71"/>
      <c r="I48" s="76" t="s">
        <v>48</v>
      </c>
      <c r="J48" s="71">
        <v>1.4E-3</v>
      </c>
      <c r="K48" s="71"/>
      <c r="L48" s="71"/>
      <c r="M48" s="76" t="s">
        <v>48</v>
      </c>
      <c r="N48" s="71">
        <v>8.9999999999999993E-3</v>
      </c>
      <c r="O48" s="71"/>
      <c r="P48" s="71"/>
      <c r="Q48" s="76" t="s">
        <v>48</v>
      </c>
      <c r="R48" s="71">
        <v>3.6999999999999998E-2</v>
      </c>
      <c r="S48" s="71"/>
      <c r="T48" s="71"/>
      <c r="U48" s="76" t="s">
        <v>48</v>
      </c>
      <c r="V48" s="71">
        <v>0.185</v>
      </c>
      <c r="W48" s="71"/>
      <c r="X48" s="71"/>
      <c r="Y48" s="76" t="s">
        <v>48</v>
      </c>
      <c r="Z48" s="71">
        <v>5.4999999999999997E-3</v>
      </c>
      <c r="AA48" s="71"/>
      <c r="AB48" s="31"/>
      <c r="AC48" s="31"/>
      <c r="AD48" s="75"/>
      <c r="AE48" s="83">
        <v>51.029411764705792</v>
      </c>
      <c r="AF48" s="83">
        <v>7.655172413793089</v>
      </c>
      <c r="AG48" s="83">
        <v>4.5567486023604602E-2</v>
      </c>
      <c r="AH48" s="83">
        <v>4.5567486023604602E-2</v>
      </c>
      <c r="AI48" s="83">
        <v>0.10885922330097059</v>
      </c>
      <c r="AJ48" s="31"/>
      <c r="AK48" s="31"/>
      <c r="AL48" s="31"/>
      <c r="AM48" s="77"/>
      <c r="AN48" s="77"/>
      <c r="AO48" s="77"/>
      <c r="AP48" s="77"/>
      <c r="AQ48" s="31"/>
      <c r="AR48" s="77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</row>
    <row r="49" spans="1:70" ht="19.5" customHeight="1">
      <c r="A49" s="71"/>
      <c r="B49" s="31"/>
      <c r="C49" s="31"/>
      <c r="D49" s="31"/>
      <c r="E49" s="31"/>
      <c r="F49" s="31"/>
      <c r="G49" s="71"/>
      <c r="H49" s="71"/>
      <c r="I49" s="76" t="s">
        <v>49</v>
      </c>
      <c r="J49" s="71">
        <v>3.5806</v>
      </c>
      <c r="K49" s="71"/>
      <c r="L49" s="71"/>
      <c r="M49" s="76" t="s">
        <v>49</v>
      </c>
      <c r="N49" s="71">
        <v>8.9710000000000001</v>
      </c>
      <c r="O49" s="71"/>
      <c r="P49" s="71"/>
      <c r="Q49" s="76" t="s">
        <v>49</v>
      </c>
      <c r="R49" s="71">
        <v>11.263999999999999</v>
      </c>
      <c r="S49" s="71"/>
      <c r="T49" s="71"/>
      <c r="U49" s="76" t="s">
        <v>49</v>
      </c>
      <c r="V49" s="71">
        <v>10.439</v>
      </c>
      <c r="W49" s="71"/>
      <c r="X49" s="71"/>
      <c r="Y49" s="76" t="s">
        <v>49</v>
      </c>
      <c r="Z49" s="71">
        <v>4.5140000000000002</v>
      </c>
      <c r="AA49" s="71"/>
      <c r="AB49" s="31"/>
      <c r="AC49" s="31"/>
      <c r="AD49" s="75"/>
      <c r="AE49" s="31"/>
      <c r="AF49" s="31"/>
      <c r="AG49" s="31"/>
      <c r="AH49" s="31"/>
      <c r="AI49" s="31"/>
      <c r="AJ49" s="31"/>
      <c r="AK49" s="31"/>
      <c r="AL49" s="31"/>
      <c r="AM49" s="77"/>
      <c r="AN49" s="77"/>
      <c r="AO49" s="77"/>
      <c r="AP49" s="77"/>
      <c r="AQ49" s="31"/>
      <c r="AR49" s="77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</row>
    <row r="50" spans="1:70" ht="13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9"/>
      <c r="AE50" s="69"/>
      <c r="AF50" s="68"/>
      <c r="AG50" s="13"/>
      <c r="AH50" s="13"/>
      <c r="AI50" s="13"/>
      <c r="AJ50" s="68"/>
      <c r="AK50" s="68"/>
      <c r="AL50" s="68"/>
      <c r="AM50" s="70"/>
      <c r="AN50" s="70"/>
      <c r="AO50" s="70"/>
      <c r="AP50" s="70"/>
      <c r="AQ50" s="68"/>
      <c r="AR50" s="70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</row>
    <row r="51" spans="1:70" ht="13.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9"/>
      <c r="AE51" s="69"/>
      <c r="AF51" s="68"/>
      <c r="AG51" s="13"/>
      <c r="AH51" s="13"/>
      <c r="AI51" s="13"/>
      <c r="AJ51" s="68"/>
      <c r="AK51" s="68"/>
      <c r="AL51" s="68"/>
      <c r="AM51" s="70"/>
      <c r="AN51" s="70"/>
      <c r="AO51" s="70"/>
      <c r="AP51" s="70"/>
      <c r="AQ51" s="68"/>
      <c r="AR51" s="70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</row>
    <row r="52" spans="1:70" ht="13.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9"/>
      <c r="AE52" s="69"/>
      <c r="AF52" s="68"/>
      <c r="AG52" s="13"/>
      <c r="AH52" s="13"/>
      <c r="AI52" s="13"/>
      <c r="AJ52" s="68"/>
      <c r="AK52" s="68"/>
      <c r="AL52" s="68"/>
      <c r="AM52" s="70"/>
      <c r="AN52" s="70"/>
      <c r="AO52" s="70"/>
      <c r="AP52" s="70"/>
      <c r="AQ52" s="68"/>
      <c r="AR52" s="70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</row>
    <row r="53" spans="1:70" ht="13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9"/>
      <c r="AE53" s="69"/>
      <c r="AF53" s="68"/>
      <c r="AG53" s="13"/>
      <c r="AH53" s="13"/>
      <c r="AI53" s="13"/>
      <c r="AJ53" s="68"/>
      <c r="AK53" s="68"/>
      <c r="AL53" s="68"/>
      <c r="AM53" s="70"/>
      <c r="AN53" s="70"/>
      <c r="AO53" s="70"/>
      <c r="AP53" s="70"/>
      <c r="AQ53" s="68"/>
      <c r="AR53" s="70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</row>
    <row r="54" spans="1:70" ht="13.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9"/>
      <c r="AE54" s="69"/>
      <c r="AF54" s="68"/>
      <c r="AG54" s="13"/>
      <c r="AH54" s="13"/>
      <c r="AI54" s="13"/>
      <c r="AJ54" s="68"/>
      <c r="AK54" s="68"/>
      <c r="AL54" s="68"/>
      <c r="AM54" s="70"/>
      <c r="AN54" s="70"/>
      <c r="AO54" s="70"/>
      <c r="AP54" s="70"/>
      <c r="AQ54" s="68"/>
      <c r="AR54" s="70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</row>
    <row r="55" spans="1:70" ht="17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9"/>
      <c r="AA55" s="69"/>
      <c r="AB55" s="68"/>
      <c r="AC55" s="68"/>
      <c r="AD55" s="69"/>
      <c r="AE55" s="69"/>
      <c r="AF55" s="68"/>
      <c r="AG55" s="13"/>
      <c r="AH55" s="13"/>
      <c r="AI55" s="13"/>
      <c r="AJ55" s="68"/>
      <c r="AK55" s="68"/>
      <c r="AL55" s="68"/>
      <c r="AM55" s="70"/>
      <c r="AN55" s="70"/>
      <c r="AO55" s="70"/>
      <c r="AP55" s="70"/>
      <c r="AQ55" s="68"/>
      <c r="AR55" s="70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</row>
    <row r="56" spans="1:70" ht="19.5" customHeight="1">
      <c r="A56" s="68"/>
      <c r="B56" s="68"/>
      <c r="C56" s="68"/>
      <c r="D56" s="62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73"/>
      <c r="V56" s="72"/>
      <c r="W56" s="68"/>
      <c r="X56" s="68"/>
      <c r="Y56" s="68"/>
      <c r="Z56" s="68"/>
      <c r="AA56" s="68"/>
      <c r="AB56" s="68"/>
      <c r="AC56" s="68"/>
      <c r="AD56" s="69"/>
      <c r="AE56" s="69"/>
      <c r="AF56" s="68"/>
      <c r="AG56" s="13"/>
      <c r="AH56" s="13"/>
      <c r="AI56" s="13"/>
      <c r="AJ56" s="68"/>
      <c r="AK56" s="68"/>
      <c r="AL56" s="68"/>
      <c r="AM56" s="70"/>
      <c r="AN56" s="70"/>
      <c r="AO56" s="70"/>
      <c r="AP56" s="70"/>
      <c r="AQ56" s="68"/>
      <c r="AR56" s="70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</row>
    <row r="57" spans="1:70" ht="19.5" customHeight="1">
      <c r="A57" s="68"/>
      <c r="B57" s="68"/>
      <c r="C57" s="68"/>
      <c r="D57" s="62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78"/>
      <c r="V57" s="72"/>
      <c r="W57" s="68"/>
      <c r="X57" s="68"/>
      <c r="Y57" s="68"/>
      <c r="Z57" s="68"/>
      <c r="AA57" s="68"/>
      <c r="AB57" s="68"/>
      <c r="AC57" s="68"/>
      <c r="AD57" s="69"/>
      <c r="AE57" s="69"/>
      <c r="AF57" s="68"/>
      <c r="AG57" s="13"/>
      <c r="AH57" s="13"/>
      <c r="AI57" s="13"/>
      <c r="AJ57" s="68"/>
      <c r="AK57" s="68"/>
      <c r="AL57" s="68"/>
      <c r="AM57" s="70"/>
      <c r="AN57" s="70"/>
      <c r="AO57" s="70"/>
      <c r="AP57" s="70"/>
      <c r="AQ57" s="68"/>
      <c r="AR57" s="70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</row>
    <row r="58" spans="1:70" ht="19.5" customHeight="1">
      <c r="A58" s="68"/>
      <c r="B58" s="68"/>
      <c r="C58" s="68"/>
      <c r="D58" s="62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78"/>
      <c r="V58" s="72"/>
      <c r="W58" s="68"/>
      <c r="X58" s="68"/>
      <c r="Y58" s="68"/>
      <c r="Z58" s="68"/>
      <c r="AA58" s="68"/>
      <c r="AB58" s="68"/>
      <c r="AC58" s="68"/>
      <c r="AD58" s="69"/>
      <c r="AE58" s="69"/>
      <c r="AF58" s="68"/>
      <c r="AG58" s="13"/>
      <c r="AH58" s="13"/>
      <c r="AI58" s="13"/>
      <c r="AJ58" s="68"/>
      <c r="AK58" s="68"/>
      <c r="AL58" s="68"/>
      <c r="AM58" s="70"/>
      <c r="AN58" s="70"/>
      <c r="AO58" s="70"/>
      <c r="AP58" s="70"/>
      <c r="AQ58" s="68"/>
      <c r="AR58" s="70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</row>
    <row r="59" spans="1:70" ht="19.5" customHeight="1">
      <c r="A59" s="68"/>
      <c r="B59" s="68"/>
      <c r="C59" s="68"/>
      <c r="D59" s="62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78"/>
      <c r="V59" s="74"/>
      <c r="W59" s="68"/>
      <c r="X59" s="68"/>
      <c r="Y59" s="68"/>
      <c r="Z59" s="68"/>
      <c r="AA59" s="68"/>
      <c r="AB59" s="68"/>
      <c r="AC59" s="68"/>
      <c r="AD59" s="69"/>
      <c r="AE59" s="69"/>
      <c r="AF59" s="68"/>
      <c r="AG59" s="13"/>
      <c r="AH59" s="13"/>
      <c r="AI59" s="13"/>
      <c r="AJ59" s="68"/>
      <c r="AK59" s="68"/>
      <c r="AL59" s="68"/>
      <c r="AM59" s="70"/>
      <c r="AN59" s="70"/>
      <c r="AO59" s="70"/>
      <c r="AP59" s="70"/>
      <c r="AQ59" s="68"/>
      <c r="AR59" s="70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</row>
    <row r="60" spans="1:70" ht="19.5" customHeight="1">
      <c r="A60" s="68"/>
      <c r="B60" s="68"/>
      <c r="C60" s="68"/>
      <c r="D60" s="62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73"/>
      <c r="V60" s="82"/>
      <c r="W60" s="68"/>
      <c r="X60" s="68"/>
      <c r="Y60" s="68"/>
      <c r="Z60" s="68"/>
      <c r="AA60" s="68"/>
      <c r="AB60" s="68"/>
      <c r="AC60" s="68"/>
      <c r="AD60" s="69"/>
      <c r="AE60" s="69"/>
      <c r="AF60" s="68"/>
      <c r="AG60" s="13"/>
      <c r="AH60" s="13"/>
      <c r="AI60" s="13"/>
      <c r="AJ60" s="68"/>
      <c r="AK60" s="68"/>
      <c r="AL60" s="68"/>
      <c r="AM60" s="70"/>
      <c r="AN60" s="70"/>
      <c r="AO60" s="70"/>
      <c r="AP60" s="70"/>
      <c r="AQ60" s="68"/>
      <c r="AR60" s="70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</row>
    <row r="61" spans="1:70" ht="19.5" customHeight="1">
      <c r="A61" s="68"/>
      <c r="B61" s="68"/>
      <c r="C61" s="68"/>
      <c r="D61" s="62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76"/>
      <c r="V61" s="71"/>
      <c r="W61" s="68"/>
      <c r="X61" s="68"/>
      <c r="Y61" s="68"/>
      <c r="Z61" s="68"/>
      <c r="AA61" s="68"/>
      <c r="AB61" s="68"/>
      <c r="AC61" s="68"/>
      <c r="AD61" s="69"/>
      <c r="AE61" s="69"/>
      <c r="AF61" s="68"/>
      <c r="AG61" s="13"/>
      <c r="AH61" s="13"/>
      <c r="AI61" s="13"/>
      <c r="AJ61" s="68"/>
      <c r="AK61" s="68"/>
      <c r="AL61" s="68"/>
      <c r="AM61" s="70"/>
      <c r="AN61" s="70"/>
      <c r="AO61" s="70"/>
      <c r="AP61" s="70"/>
      <c r="AQ61" s="68"/>
      <c r="AR61" s="70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</row>
    <row r="62" spans="1:70" ht="19.5" customHeight="1">
      <c r="A62" s="68"/>
      <c r="B62" s="68"/>
      <c r="C62" s="68"/>
      <c r="D62" s="62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76"/>
      <c r="V62" s="71"/>
      <c r="W62" s="68"/>
      <c r="X62" s="68"/>
      <c r="Y62" s="68"/>
      <c r="Z62" s="68"/>
      <c r="AA62" s="68"/>
      <c r="AB62" s="68"/>
      <c r="AC62" s="68"/>
      <c r="AD62" s="69"/>
      <c r="AE62" s="69"/>
      <c r="AF62" s="68"/>
      <c r="AG62" s="13"/>
      <c r="AH62" s="13"/>
      <c r="AI62" s="13"/>
      <c r="AJ62" s="68"/>
      <c r="AK62" s="68"/>
      <c r="AL62" s="68"/>
      <c r="AM62" s="70"/>
      <c r="AN62" s="70"/>
      <c r="AO62" s="70"/>
      <c r="AP62" s="70"/>
      <c r="AQ62" s="68"/>
      <c r="AR62" s="70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</row>
    <row r="63" spans="1:70" ht="19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76"/>
      <c r="V63" s="71"/>
      <c r="W63" s="68"/>
      <c r="X63" s="68"/>
      <c r="Y63" s="68"/>
      <c r="Z63" s="68"/>
      <c r="AA63" s="68"/>
      <c r="AB63" s="68"/>
      <c r="AC63" s="68"/>
      <c r="AD63" s="69"/>
      <c r="AE63" s="69"/>
      <c r="AF63" s="68"/>
      <c r="AG63" s="13"/>
      <c r="AH63" s="13"/>
      <c r="AI63" s="13"/>
      <c r="AJ63" s="68"/>
      <c r="AK63" s="68"/>
      <c r="AL63" s="68"/>
      <c r="AM63" s="70"/>
      <c r="AN63" s="70"/>
      <c r="AO63" s="70"/>
      <c r="AP63" s="70"/>
      <c r="AQ63" s="68"/>
      <c r="AR63" s="70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</row>
    <row r="64" spans="1:70" ht="13.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9"/>
      <c r="AE64" s="69"/>
      <c r="AF64" s="68"/>
      <c r="AG64" s="13"/>
      <c r="AH64" s="13"/>
      <c r="AI64" s="13"/>
      <c r="AJ64" s="68"/>
      <c r="AK64" s="68"/>
      <c r="AL64" s="68"/>
      <c r="AM64" s="70"/>
      <c r="AN64" s="70"/>
      <c r="AO64" s="70"/>
      <c r="AP64" s="70"/>
      <c r="AQ64" s="68"/>
      <c r="AR64" s="70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</row>
    <row r="65" spans="1:70" ht="13.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9"/>
      <c r="AE65" s="69"/>
      <c r="AF65" s="68"/>
      <c r="AG65" s="13"/>
      <c r="AH65" s="13"/>
      <c r="AI65" s="13"/>
      <c r="AJ65" s="68"/>
      <c r="AK65" s="68"/>
      <c r="AL65" s="68"/>
      <c r="AM65" s="70"/>
      <c r="AN65" s="70"/>
      <c r="AO65" s="70"/>
      <c r="AP65" s="70"/>
      <c r="AQ65" s="68"/>
      <c r="AR65" s="70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</row>
    <row r="66" spans="1:70" ht="13.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9"/>
      <c r="AE66" s="69"/>
      <c r="AF66" s="68"/>
      <c r="AG66" s="13"/>
      <c r="AH66" s="13"/>
      <c r="AI66" s="13"/>
      <c r="AJ66" s="68"/>
      <c r="AK66" s="68"/>
      <c r="AL66" s="68"/>
      <c r="AM66" s="70"/>
      <c r="AN66" s="70"/>
      <c r="AO66" s="70"/>
      <c r="AP66" s="70"/>
      <c r="AQ66" s="68"/>
      <c r="AR66" s="70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</row>
    <row r="67" spans="1:70" ht="13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9"/>
      <c r="AE67" s="69"/>
      <c r="AF67" s="68"/>
      <c r="AG67" s="13"/>
      <c r="AH67" s="13"/>
      <c r="AI67" s="13"/>
      <c r="AJ67" s="68"/>
      <c r="AK67" s="68"/>
      <c r="AL67" s="68"/>
      <c r="AM67" s="70"/>
      <c r="AN67" s="70"/>
      <c r="AO67" s="70"/>
      <c r="AP67" s="70"/>
      <c r="AQ67" s="68"/>
      <c r="AR67" s="70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</row>
    <row r="68" spans="1:70" ht="13.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9"/>
      <c r="AE68" s="69"/>
      <c r="AF68" s="68"/>
      <c r="AG68" s="13"/>
      <c r="AH68" s="13"/>
      <c r="AI68" s="13"/>
      <c r="AJ68" s="68"/>
      <c r="AK68" s="68"/>
      <c r="AL68" s="68"/>
      <c r="AM68" s="70"/>
      <c r="AN68" s="70"/>
      <c r="AO68" s="70"/>
      <c r="AP68" s="70"/>
      <c r="AQ68" s="68"/>
      <c r="AR68" s="70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</row>
    <row r="69" spans="1:70" ht="13.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9"/>
      <c r="AE69" s="69"/>
      <c r="AF69" s="68"/>
      <c r="AG69" s="13"/>
      <c r="AH69" s="13"/>
      <c r="AI69" s="13"/>
      <c r="AJ69" s="68"/>
      <c r="AK69" s="68"/>
      <c r="AL69" s="68"/>
      <c r="AM69" s="70"/>
      <c r="AN69" s="70"/>
      <c r="AO69" s="70"/>
      <c r="AP69" s="70"/>
      <c r="AQ69" s="68"/>
      <c r="AR69" s="70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</row>
    <row r="70" spans="1:70" ht="13.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9"/>
      <c r="AE70" s="69"/>
      <c r="AF70" s="68"/>
      <c r="AG70" s="13"/>
      <c r="AH70" s="13"/>
      <c r="AI70" s="13"/>
      <c r="AJ70" s="68"/>
      <c r="AK70" s="68"/>
      <c r="AL70" s="68"/>
      <c r="AM70" s="70"/>
      <c r="AN70" s="70"/>
      <c r="AO70" s="70"/>
      <c r="AP70" s="70"/>
      <c r="AQ70" s="68"/>
      <c r="AR70" s="70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</row>
    <row r="71" spans="1:70" ht="13.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9"/>
      <c r="AE71" s="69"/>
      <c r="AF71" s="68"/>
      <c r="AG71" s="13"/>
      <c r="AH71" s="13"/>
      <c r="AI71" s="13"/>
      <c r="AJ71" s="68"/>
      <c r="AK71" s="68"/>
      <c r="AL71" s="68"/>
      <c r="AM71" s="70"/>
      <c r="AN71" s="70"/>
      <c r="AO71" s="70"/>
      <c r="AP71" s="70"/>
      <c r="AQ71" s="68"/>
      <c r="AR71" s="70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</row>
    <row r="72" spans="1:70" ht="13.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9"/>
      <c r="AE72" s="69"/>
      <c r="AF72" s="68"/>
      <c r="AG72" s="13"/>
      <c r="AH72" s="13"/>
      <c r="AI72" s="13"/>
      <c r="AJ72" s="68"/>
      <c r="AK72" s="68"/>
      <c r="AL72" s="68"/>
      <c r="AM72" s="70"/>
      <c r="AN72" s="70"/>
      <c r="AO72" s="70"/>
      <c r="AP72" s="70"/>
      <c r="AQ72" s="68"/>
      <c r="AR72" s="70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</row>
    <row r="73" spans="1:70" ht="13.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9"/>
      <c r="AE73" s="69"/>
      <c r="AF73" s="68"/>
      <c r="AG73" s="13"/>
      <c r="AH73" s="13"/>
      <c r="AI73" s="13"/>
      <c r="AJ73" s="68"/>
      <c r="AK73" s="68"/>
      <c r="AL73" s="68"/>
      <c r="AM73" s="70"/>
      <c r="AN73" s="70"/>
      <c r="AO73" s="70"/>
      <c r="AP73" s="70"/>
      <c r="AQ73" s="68"/>
      <c r="AR73" s="70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</row>
    <row r="74" spans="1:70" ht="13.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9"/>
      <c r="AE74" s="69"/>
      <c r="AF74" s="68"/>
      <c r="AG74" s="13"/>
      <c r="AH74" s="13"/>
      <c r="AI74" s="13"/>
      <c r="AJ74" s="68"/>
      <c r="AK74" s="68"/>
      <c r="AL74" s="68"/>
      <c r="AM74" s="70"/>
      <c r="AN74" s="70"/>
      <c r="AO74" s="70"/>
      <c r="AP74" s="70"/>
      <c r="AQ74" s="68"/>
      <c r="AR74" s="70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</row>
    <row r="75" spans="1:70" ht="13.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9"/>
      <c r="AE75" s="69"/>
      <c r="AF75" s="68"/>
      <c r="AG75" s="13"/>
      <c r="AH75" s="13"/>
      <c r="AI75" s="13"/>
      <c r="AJ75" s="68"/>
      <c r="AK75" s="68"/>
      <c r="AL75" s="68"/>
      <c r="AM75" s="70"/>
      <c r="AN75" s="70"/>
      <c r="AO75" s="70"/>
      <c r="AP75" s="70"/>
      <c r="AQ75" s="68"/>
      <c r="AR75" s="70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</row>
    <row r="76" spans="1:70" ht="13.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9"/>
      <c r="AE76" s="69"/>
      <c r="AF76" s="68"/>
      <c r="AG76" s="13"/>
      <c r="AH76" s="13"/>
      <c r="AI76" s="13"/>
      <c r="AJ76" s="68"/>
      <c r="AK76" s="68"/>
      <c r="AL76" s="68"/>
      <c r="AM76" s="70"/>
      <c r="AN76" s="70"/>
      <c r="AO76" s="70"/>
      <c r="AP76" s="70"/>
      <c r="AQ76" s="68"/>
      <c r="AR76" s="70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</row>
    <row r="77" spans="1:70" ht="13.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9"/>
      <c r="AE77" s="69"/>
      <c r="AF77" s="68"/>
      <c r="AG77" s="13"/>
      <c r="AH77" s="13"/>
      <c r="AI77" s="13"/>
      <c r="AJ77" s="68"/>
      <c r="AK77" s="68"/>
      <c r="AL77" s="68"/>
      <c r="AM77" s="70"/>
      <c r="AN77" s="70"/>
      <c r="AO77" s="70"/>
      <c r="AP77" s="70"/>
      <c r="AQ77" s="68"/>
      <c r="AR77" s="70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</row>
    <row r="78" spans="1:70" ht="13.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9"/>
      <c r="AE78" s="69"/>
      <c r="AF78" s="68"/>
      <c r="AG78" s="13"/>
      <c r="AH78" s="13"/>
      <c r="AI78" s="13"/>
      <c r="AJ78" s="68"/>
      <c r="AK78" s="68"/>
      <c r="AL78" s="68"/>
      <c r="AM78" s="70"/>
      <c r="AN78" s="70"/>
      <c r="AO78" s="70"/>
      <c r="AP78" s="70"/>
      <c r="AQ78" s="68"/>
      <c r="AR78" s="70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</row>
    <row r="79" spans="1:70" ht="13.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9"/>
      <c r="AE79" s="69"/>
      <c r="AF79" s="68"/>
      <c r="AG79" s="13"/>
      <c r="AH79" s="13"/>
      <c r="AI79" s="13"/>
      <c r="AJ79" s="68"/>
      <c r="AK79" s="68"/>
      <c r="AL79" s="68"/>
      <c r="AM79" s="70"/>
      <c r="AN79" s="70"/>
      <c r="AO79" s="70"/>
      <c r="AP79" s="70"/>
      <c r="AQ79" s="68"/>
      <c r="AR79" s="70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</row>
    <row r="80" spans="1:70" ht="13.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9"/>
      <c r="AE80" s="69"/>
      <c r="AF80" s="68"/>
      <c r="AG80" s="13"/>
      <c r="AH80" s="13"/>
      <c r="AI80" s="13"/>
      <c r="AJ80" s="68"/>
      <c r="AK80" s="68"/>
      <c r="AL80" s="68"/>
      <c r="AM80" s="70"/>
      <c r="AN80" s="70"/>
      <c r="AO80" s="70"/>
      <c r="AP80" s="70"/>
      <c r="AQ80" s="68"/>
      <c r="AR80" s="70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</row>
    <row r="81" spans="1:70" ht="13.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9"/>
      <c r="AE81" s="69"/>
      <c r="AF81" s="68"/>
      <c r="AG81" s="13"/>
      <c r="AH81" s="13"/>
      <c r="AI81" s="13"/>
      <c r="AJ81" s="68"/>
      <c r="AK81" s="68"/>
      <c r="AL81" s="68"/>
      <c r="AM81" s="70"/>
      <c r="AN81" s="70"/>
      <c r="AO81" s="70"/>
      <c r="AP81" s="70"/>
      <c r="AQ81" s="68"/>
      <c r="AR81" s="70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</row>
    <row r="82" spans="1:70" ht="13.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9"/>
      <c r="AE82" s="69"/>
      <c r="AF82" s="68"/>
      <c r="AG82" s="13"/>
      <c r="AH82" s="13"/>
      <c r="AI82" s="13"/>
      <c r="AJ82" s="68"/>
      <c r="AK82" s="68"/>
      <c r="AL82" s="68"/>
      <c r="AM82" s="70"/>
      <c r="AN82" s="70"/>
      <c r="AO82" s="70"/>
      <c r="AP82" s="70"/>
      <c r="AQ82" s="68"/>
      <c r="AR82" s="70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</row>
    <row r="83" spans="1:70" ht="13.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9"/>
      <c r="AE83" s="69"/>
      <c r="AF83" s="68"/>
      <c r="AG83" s="13"/>
      <c r="AH83" s="13"/>
      <c r="AI83" s="13"/>
      <c r="AJ83" s="68"/>
      <c r="AK83" s="68"/>
      <c r="AL83" s="68"/>
      <c r="AM83" s="70"/>
      <c r="AN83" s="70"/>
      <c r="AO83" s="70"/>
      <c r="AP83" s="70"/>
      <c r="AQ83" s="68"/>
      <c r="AR83" s="70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</row>
    <row r="84" spans="1:70" ht="13.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9"/>
      <c r="AE84" s="69"/>
      <c r="AF84" s="68"/>
      <c r="AG84" s="13"/>
      <c r="AH84" s="13"/>
      <c r="AI84" s="13"/>
      <c r="AJ84" s="68"/>
      <c r="AK84" s="68"/>
      <c r="AL84" s="68"/>
      <c r="AM84" s="70"/>
      <c r="AN84" s="70"/>
      <c r="AO84" s="70"/>
      <c r="AP84" s="70"/>
      <c r="AQ84" s="68"/>
      <c r="AR84" s="70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</row>
    <row r="85" spans="1:70" ht="13.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9"/>
      <c r="AE85" s="69"/>
      <c r="AF85" s="68"/>
      <c r="AG85" s="13"/>
      <c r="AH85" s="13"/>
      <c r="AI85" s="13"/>
      <c r="AJ85" s="68"/>
      <c r="AK85" s="68"/>
      <c r="AL85" s="68"/>
      <c r="AM85" s="70"/>
      <c r="AN85" s="70"/>
      <c r="AO85" s="70"/>
      <c r="AP85" s="70"/>
      <c r="AQ85" s="68"/>
      <c r="AR85" s="70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</row>
    <row r="86" spans="1:70" ht="15.75" customHeight="1"/>
    <row r="87" spans="1:70" ht="15.75" customHeight="1"/>
    <row r="88" spans="1:70" ht="15.75" customHeight="1"/>
    <row r="89" spans="1:70" ht="15.75" customHeight="1"/>
    <row r="90" spans="1:70" ht="15.75" customHeight="1"/>
    <row r="91" spans="1:70" ht="15.75" customHeight="1"/>
    <row r="92" spans="1:70" ht="15.75" customHeight="1"/>
    <row r="93" spans="1:70" ht="15.75" customHeight="1"/>
    <row r="94" spans="1:70" ht="15.75" customHeight="1"/>
    <row r="95" spans="1:70" ht="15.75" customHeight="1"/>
    <row r="96" spans="1:7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pageMargins left="0.7" right="0.7" top="0.78740157499999996" bottom="0.78740157499999996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000"/>
  <sheetViews>
    <sheetView topLeftCell="A3" workbookViewId="0">
      <selection activeCell="A5" sqref="A5:A40"/>
    </sheetView>
  </sheetViews>
  <sheetFormatPr baseColWidth="10" defaultColWidth="12.5703125" defaultRowHeight="15" customHeight="1" x14ac:dyDescent="0"/>
  <cols>
    <col min="1" max="1" width="22.42578125" customWidth="1"/>
    <col min="2" max="2" width="15.85546875" customWidth="1"/>
    <col min="3" max="8" width="10.7109375" customWidth="1"/>
    <col min="9" max="10" width="11.7109375" customWidth="1"/>
    <col min="11" max="15" width="10.7109375" customWidth="1"/>
    <col min="16" max="26" width="14.42578125" customWidth="1"/>
  </cols>
  <sheetData>
    <row r="1" spans="1:14" ht="20.25" customHeight="1">
      <c r="A1" s="84"/>
      <c r="B1" s="85">
        <v>44644</v>
      </c>
      <c r="C1" s="86"/>
      <c r="D1" s="87"/>
      <c r="E1" s="87"/>
      <c r="F1" s="87"/>
      <c r="G1" s="88"/>
      <c r="H1" s="89"/>
      <c r="I1" s="89"/>
      <c r="J1" s="89"/>
      <c r="K1" s="87"/>
      <c r="L1" s="88"/>
      <c r="M1" s="90"/>
      <c r="N1" s="90"/>
    </row>
    <row r="2" spans="1:14" ht="156" customHeight="1">
      <c r="A2" s="91"/>
      <c r="B2" s="92" t="s">
        <v>50</v>
      </c>
      <c r="C2" s="93" t="s">
        <v>51</v>
      </c>
      <c r="D2" s="94" t="s">
        <v>52</v>
      </c>
      <c r="E2" s="94" t="s">
        <v>53</v>
      </c>
      <c r="F2" s="95" t="s">
        <v>54</v>
      </c>
      <c r="G2" s="96" t="s">
        <v>55</v>
      </c>
      <c r="H2" s="97" t="s">
        <v>56</v>
      </c>
      <c r="I2" s="97" t="s">
        <v>57</v>
      </c>
      <c r="J2" s="97" t="s">
        <v>58</v>
      </c>
      <c r="K2" s="97" t="s">
        <v>59</v>
      </c>
      <c r="L2" s="98" t="s">
        <v>60</v>
      </c>
      <c r="M2" s="99" t="s">
        <v>61</v>
      </c>
      <c r="N2" s="99" t="s">
        <v>62</v>
      </c>
    </row>
    <row r="3" spans="1:14" ht="14">
      <c r="A3" s="100" t="s">
        <v>63</v>
      </c>
      <c r="B3" s="101"/>
      <c r="C3" s="102" t="s">
        <v>64</v>
      </c>
      <c r="D3" s="103">
        <v>0</v>
      </c>
      <c r="E3" s="104">
        <f>G3*D3</f>
        <v>0</v>
      </c>
      <c r="F3" s="105">
        <f>50-SUM(G3:K3)</f>
        <v>21</v>
      </c>
      <c r="G3" s="106">
        <v>0</v>
      </c>
      <c r="H3" s="107">
        <v>5</v>
      </c>
      <c r="I3" s="107">
        <v>3</v>
      </c>
      <c r="J3" s="107">
        <v>20</v>
      </c>
      <c r="K3" s="108">
        <v>1</v>
      </c>
      <c r="L3" s="109">
        <f>SUM(F3:K3)</f>
        <v>50</v>
      </c>
      <c r="M3" s="110"/>
      <c r="N3" s="111">
        <v>39</v>
      </c>
    </row>
    <row r="4" spans="1:14" ht="14">
      <c r="A4" s="237"/>
      <c r="B4" s="101"/>
      <c r="C4" s="102"/>
      <c r="D4" s="103"/>
      <c r="E4" s="104"/>
      <c r="F4" s="105"/>
      <c r="G4" s="106"/>
      <c r="H4" s="107"/>
      <c r="I4" s="107"/>
      <c r="J4" s="107"/>
      <c r="K4" s="108"/>
      <c r="L4" s="109"/>
      <c r="M4" s="110"/>
      <c r="N4" s="111"/>
    </row>
    <row r="5" spans="1:14" ht="14">
      <c r="A5" s="241" t="s">
        <v>29</v>
      </c>
      <c r="B5" s="112"/>
      <c r="C5" s="102">
        <v>1</v>
      </c>
      <c r="D5" s="103">
        <v>174.05</v>
      </c>
      <c r="E5" s="104">
        <f t="shared" ref="E5:E40" si="0">G5*D5</f>
        <v>1500</v>
      </c>
      <c r="F5" s="105">
        <f t="shared" ref="F5:F40" si="1">50-SUM(G5:K5)</f>
        <v>12.381786842861246</v>
      </c>
      <c r="G5" s="113">
        <f t="shared" ref="G5:G40" si="2">1500/D5</f>
        <v>8.6182131571387526</v>
      </c>
      <c r="H5" s="107">
        <v>5</v>
      </c>
      <c r="I5" s="107">
        <v>3</v>
      </c>
      <c r="J5" s="107">
        <v>20</v>
      </c>
      <c r="K5" s="108">
        <v>1</v>
      </c>
      <c r="L5" s="109">
        <f t="shared" ref="L5:L40" si="3">SUM(F5:K5)</f>
        <v>50</v>
      </c>
      <c r="M5" s="110"/>
      <c r="N5" s="111">
        <v>39</v>
      </c>
    </row>
    <row r="6" spans="1:14" ht="14">
      <c r="A6" s="241" t="s">
        <v>29</v>
      </c>
      <c r="B6" s="112"/>
      <c r="C6" s="102">
        <v>2</v>
      </c>
      <c r="D6" s="103">
        <v>218.55</v>
      </c>
      <c r="E6" s="104">
        <f t="shared" si="0"/>
        <v>1500</v>
      </c>
      <c r="F6" s="105">
        <f t="shared" si="1"/>
        <v>14.136582017844887</v>
      </c>
      <c r="G6" s="113">
        <f t="shared" si="2"/>
        <v>6.8634179821551129</v>
      </c>
      <c r="H6" s="107">
        <v>5</v>
      </c>
      <c r="I6" s="107">
        <v>3</v>
      </c>
      <c r="J6" s="107">
        <v>20</v>
      </c>
      <c r="K6" s="108">
        <v>1</v>
      </c>
      <c r="L6" s="109">
        <f t="shared" si="3"/>
        <v>50</v>
      </c>
      <c r="M6" s="110"/>
      <c r="N6" s="111">
        <v>39</v>
      </c>
    </row>
    <row r="7" spans="1:14" ht="14">
      <c r="A7" s="241" t="s">
        <v>29</v>
      </c>
      <c r="B7" s="112"/>
      <c r="C7" s="102">
        <v>3</v>
      </c>
      <c r="D7" s="103">
        <v>184</v>
      </c>
      <c r="E7" s="104">
        <f t="shared" si="0"/>
        <v>1500</v>
      </c>
      <c r="F7" s="105">
        <f t="shared" si="1"/>
        <v>12.847826086956523</v>
      </c>
      <c r="G7" s="113">
        <f t="shared" si="2"/>
        <v>8.1521739130434785</v>
      </c>
      <c r="H7" s="107">
        <v>5</v>
      </c>
      <c r="I7" s="107">
        <v>3</v>
      </c>
      <c r="J7" s="107">
        <v>20</v>
      </c>
      <c r="K7" s="108">
        <v>1</v>
      </c>
      <c r="L7" s="109">
        <f t="shared" si="3"/>
        <v>50</v>
      </c>
      <c r="M7" s="110"/>
      <c r="N7" s="111">
        <v>39</v>
      </c>
    </row>
    <row r="8" spans="1:14" ht="14">
      <c r="A8" s="241" t="s">
        <v>109</v>
      </c>
      <c r="B8" s="101"/>
      <c r="C8" s="102">
        <v>4</v>
      </c>
      <c r="D8" s="103">
        <v>185</v>
      </c>
      <c r="E8" s="104">
        <f t="shared" si="0"/>
        <v>1500.0000000000002</v>
      </c>
      <c r="F8" s="105">
        <f t="shared" si="1"/>
        <v>12.891891891891888</v>
      </c>
      <c r="G8" s="113">
        <f t="shared" si="2"/>
        <v>8.1081081081081088</v>
      </c>
      <c r="H8" s="107">
        <v>5</v>
      </c>
      <c r="I8" s="107">
        <v>3</v>
      </c>
      <c r="J8" s="107">
        <v>20</v>
      </c>
      <c r="K8" s="108">
        <v>1</v>
      </c>
      <c r="L8" s="109">
        <f t="shared" si="3"/>
        <v>50</v>
      </c>
      <c r="M8" s="110"/>
      <c r="N8" s="111">
        <v>39</v>
      </c>
    </row>
    <row r="9" spans="1:14" ht="14">
      <c r="A9" s="241" t="s">
        <v>30</v>
      </c>
      <c r="B9" s="101"/>
      <c r="C9" s="102">
        <v>5</v>
      </c>
      <c r="D9" s="103">
        <v>287</v>
      </c>
      <c r="E9" s="104">
        <f t="shared" si="0"/>
        <v>1500</v>
      </c>
      <c r="F9" s="105">
        <f t="shared" si="1"/>
        <v>15.773519163763069</v>
      </c>
      <c r="G9" s="113">
        <f t="shared" si="2"/>
        <v>5.2264808362369335</v>
      </c>
      <c r="H9" s="107">
        <v>5</v>
      </c>
      <c r="I9" s="107">
        <v>3</v>
      </c>
      <c r="J9" s="107">
        <v>20</v>
      </c>
      <c r="K9" s="108">
        <v>1</v>
      </c>
      <c r="L9" s="109">
        <f t="shared" si="3"/>
        <v>50</v>
      </c>
      <c r="M9" s="110"/>
      <c r="N9" s="111">
        <v>39</v>
      </c>
    </row>
    <row r="10" spans="1:14" ht="14">
      <c r="A10" s="241" t="s">
        <v>30</v>
      </c>
      <c r="B10" s="101"/>
      <c r="C10" s="102">
        <v>6</v>
      </c>
      <c r="D10" s="103">
        <v>228</v>
      </c>
      <c r="E10" s="104">
        <f t="shared" si="0"/>
        <v>1500</v>
      </c>
      <c r="F10" s="105">
        <f t="shared" si="1"/>
        <v>14.421052631578945</v>
      </c>
      <c r="G10" s="113">
        <f t="shared" si="2"/>
        <v>6.5789473684210522</v>
      </c>
      <c r="H10" s="107">
        <v>5</v>
      </c>
      <c r="I10" s="107">
        <v>3</v>
      </c>
      <c r="J10" s="107">
        <v>20</v>
      </c>
      <c r="K10" s="108">
        <v>1</v>
      </c>
      <c r="L10" s="109">
        <f t="shared" si="3"/>
        <v>50</v>
      </c>
      <c r="M10" s="110"/>
      <c r="N10" s="111">
        <v>39</v>
      </c>
    </row>
    <row r="11" spans="1:14" ht="15.75" customHeight="1">
      <c r="A11" s="242" t="s">
        <v>110</v>
      </c>
      <c r="B11" s="114"/>
      <c r="C11" s="102">
        <v>7</v>
      </c>
      <c r="D11" s="103">
        <v>254</v>
      </c>
      <c r="E11" s="104">
        <f t="shared" si="0"/>
        <v>1500</v>
      </c>
      <c r="F11" s="105">
        <f t="shared" si="1"/>
        <v>15.094488188976378</v>
      </c>
      <c r="G11" s="113">
        <f t="shared" si="2"/>
        <v>5.9055118110236222</v>
      </c>
      <c r="H11" s="107">
        <v>5</v>
      </c>
      <c r="I11" s="107">
        <v>3</v>
      </c>
      <c r="J11" s="107">
        <v>20</v>
      </c>
      <c r="K11" s="108">
        <v>1</v>
      </c>
      <c r="L11" s="109">
        <f t="shared" si="3"/>
        <v>50</v>
      </c>
      <c r="M11" s="110"/>
      <c r="N11" s="111">
        <v>39</v>
      </c>
    </row>
    <row r="12" spans="1:14" ht="15.75" customHeight="1">
      <c r="A12" s="242" t="s">
        <v>110</v>
      </c>
      <c r="B12" s="114"/>
      <c r="C12" s="102">
        <v>8</v>
      </c>
      <c r="D12" s="103">
        <v>153</v>
      </c>
      <c r="E12" s="104">
        <f t="shared" si="0"/>
        <v>1500</v>
      </c>
      <c r="F12" s="105">
        <f t="shared" si="1"/>
        <v>11.196078431372548</v>
      </c>
      <c r="G12" s="113">
        <f t="shared" si="2"/>
        <v>9.8039215686274517</v>
      </c>
      <c r="H12" s="107">
        <v>5</v>
      </c>
      <c r="I12" s="107">
        <v>3</v>
      </c>
      <c r="J12" s="107">
        <v>20</v>
      </c>
      <c r="K12" s="108">
        <v>1</v>
      </c>
      <c r="L12" s="109">
        <f t="shared" si="3"/>
        <v>50</v>
      </c>
      <c r="M12" s="110"/>
      <c r="N12" s="111">
        <v>39</v>
      </c>
    </row>
    <row r="13" spans="1:14" ht="15" customHeight="1">
      <c r="A13" s="242" t="s">
        <v>110</v>
      </c>
      <c r="B13" s="114"/>
      <c r="C13" s="102">
        <v>9</v>
      </c>
      <c r="D13" s="103">
        <v>132</v>
      </c>
      <c r="E13" s="104">
        <f t="shared" si="0"/>
        <v>1500</v>
      </c>
      <c r="F13" s="105">
        <f t="shared" si="1"/>
        <v>9.6363636363636402</v>
      </c>
      <c r="G13" s="113">
        <f t="shared" si="2"/>
        <v>11.363636363636363</v>
      </c>
      <c r="H13" s="107">
        <v>5</v>
      </c>
      <c r="I13" s="107">
        <v>3</v>
      </c>
      <c r="J13" s="107">
        <v>20</v>
      </c>
      <c r="K13" s="108">
        <v>1</v>
      </c>
      <c r="L13" s="109">
        <f t="shared" si="3"/>
        <v>50</v>
      </c>
      <c r="M13" s="110"/>
      <c r="N13" s="111">
        <v>39</v>
      </c>
    </row>
    <row r="14" spans="1:14" ht="16.5" customHeight="1">
      <c r="A14" s="242" t="s">
        <v>111</v>
      </c>
      <c r="B14" s="114"/>
      <c r="C14" s="102">
        <v>10</v>
      </c>
      <c r="D14" s="103">
        <v>104</v>
      </c>
      <c r="E14" s="104">
        <f t="shared" si="0"/>
        <v>1500</v>
      </c>
      <c r="F14" s="105">
        <f t="shared" si="1"/>
        <v>6.5769230769230802</v>
      </c>
      <c r="G14" s="113">
        <f t="shared" si="2"/>
        <v>14.423076923076923</v>
      </c>
      <c r="H14" s="107">
        <v>5</v>
      </c>
      <c r="I14" s="107">
        <v>3</v>
      </c>
      <c r="J14" s="107">
        <v>20</v>
      </c>
      <c r="K14" s="108">
        <v>1</v>
      </c>
      <c r="L14" s="109">
        <f t="shared" si="3"/>
        <v>50</v>
      </c>
      <c r="M14" s="110"/>
      <c r="N14" s="111">
        <v>39</v>
      </c>
    </row>
    <row r="15" spans="1:14" ht="15.75" customHeight="1">
      <c r="A15" s="242" t="s">
        <v>111</v>
      </c>
      <c r="B15" s="114"/>
      <c r="C15" s="102">
        <v>11</v>
      </c>
      <c r="D15" s="103">
        <v>125</v>
      </c>
      <c r="E15" s="104">
        <f t="shared" si="0"/>
        <v>1500</v>
      </c>
      <c r="F15" s="105">
        <f t="shared" si="1"/>
        <v>9</v>
      </c>
      <c r="G15" s="113">
        <f t="shared" si="2"/>
        <v>12</v>
      </c>
      <c r="H15" s="107">
        <v>5</v>
      </c>
      <c r="I15" s="107">
        <v>3</v>
      </c>
      <c r="J15" s="107">
        <v>20</v>
      </c>
      <c r="K15" s="108">
        <v>1</v>
      </c>
      <c r="L15" s="109">
        <f t="shared" si="3"/>
        <v>50</v>
      </c>
      <c r="M15" s="110"/>
      <c r="N15" s="111">
        <v>39</v>
      </c>
    </row>
    <row r="16" spans="1:14" ht="15.75" customHeight="1">
      <c r="A16" s="242" t="s">
        <v>111</v>
      </c>
      <c r="B16" s="114"/>
      <c r="C16" s="102">
        <v>12</v>
      </c>
      <c r="D16" s="103">
        <v>107</v>
      </c>
      <c r="E16" s="104">
        <f t="shared" si="0"/>
        <v>1500</v>
      </c>
      <c r="F16" s="105">
        <f t="shared" si="1"/>
        <v>6.9813084112149539</v>
      </c>
      <c r="G16" s="113">
        <f t="shared" si="2"/>
        <v>14.018691588785046</v>
      </c>
      <c r="H16" s="107">
        <v>5</v>
      </c>
      <c r="I16" s="107">
        <v>3</v>
      </c>
      <c r="J16" s="107">
        <v>20</v>
      </c>
      <c r="K16" s="108">
        <v>1</v>
      </c>
      <c r="L16" s="109">
        <f t="shared" si="3"/>
        <v>50</v>
      </c>
      <c r="M16" s="110"/>
      <c r="N16" s="111">
        <v>39</v>
      </c>
    </row>
    <row r="17" spans="1:14" ht="14">
      <c r="A17" s="240" t="s">
        <v>112</v>
      </c>
      <c r="B17" s="114"/>
      <c r="C17" s="102">
        <v>13</v>
      </c>
      <c r="D17" s="103">
        <v>191</v>
      </c>
      <c r="E17" s="104">
        <f t="shared" si="0"/>
        <v>1500</v>
      </c>
      <c r="F17" s="105">
        <f t="shared" si="1"/>
        <v>13.146596858638745</v>
      </c>
      <c r="G17" s="113">
        <f t="shared" si="2"/>
        <v>7.8534031413612562</v>
      </c>
      <c r="H17" s="107">
        <v>5</v>
      </c>
      <c r="I17" s="107">
        <v>3</v>
      </c>
      <c r="J17" s="107">
        <v>20</v>
      </c>
      <c r="K17" s="108">
        <v>1</v>
      </c>
      <c r="L17" s="109">
        <f t="shared" si="3"/>
        <v>50</v>
      </c>
      <c r="M17" s="110"/>
      <c r="N17" s="111">
        <v>39</v>
      </c>
    </row>
    <row r="18" spans="1:14" ht="14">
      <c r="A18" s="240" t="s">
        <v>112</v>
      </c>
      <c r="B18" s="114"/>
      <c r="C18" s="102">
        <v>14</v>
      </c>
      <c r="D18" s="103">
        <v>220</v>
      </c>
      <c r="E18" s="104">
        <f t="shared" si="0"/>
        <v>1500</v>
      </c>
      <c r="F18" s="105">
        <f t="shared" si="1"/>
        <v>14.18181818181818</v>
      </c>
      <c r="G18" s="113">
        <f t="shared" si="2"/>
        <v>6.8181818181818183</v>
      </c>
      <c r="H18" s="107">
        <v>5</v>
      </c>
      <c r="I18" s="107">
        <v>3</v>
      </c>
      <c r="J18" s="107">
        <v>20</v>
      </c>
      <c r="K18" s="108">
        <v>1</v>
      </c>
      <c r="L18" s="109">
        <f t="shared" si="3"/>
        <v>50</v>
      </c>
      <c r="M18" s="110"/>
      <c r="N18" s="111">
        <v>39</v>
      </c>
    </row>
    <row r="19" spans="1:14" ht="14">
      <c r="A19" s="240" t="s">
        <v>112</v>
      </c>
      <c r="B19" s="114"/>
      <c r="C19" s="102">
        <v>15</v>
      </c>
      <c r="D19" s="103">
        <v>382</v>
      </c>
      <c r="E19" s="104">
        <f t="shared" si="0"/>
        <v>1500</v>
      </c>
      <c r="F19" s="105">
        <f t="shared" si="1"/>
        <v>17.073298429319372</v>
      </c>
      <c r="G19" s="113">
        <f t="shared" si="2"/>
        <v>3.9267015706806281</v>
      </c>
      <c r="H19" s="107">
        <v>5</v>
      </c>
      <c r="I19" s="107">
        <v>3</v>
      </c>
      <c r="J19" s="107">
        <v>20</v>
      </c>
      <c r="K19" s="108">
        <v>1</v>
      </c>
      <c r="L19" s="109">
        <f t="shared" si="3"/>
        <v>50</v>
      </c>
      <c r="M19" s="110"/>
      <c r="N19" s="111">
        <v>39</v>
      </c>
    </row>
    <row r="20" spans="1:14" ht="14">
      <c r="A20" s="241" t="s">
        <v>31</v>
      </c>
      <c r="B20" s="114"/>
      <c r="C20" s="102">
        <v>16</v>
      </c>
      <c r="D20" s="103">
        <v>209</v>
      </c>
      <c r="E20" s="104">
        <f t="shared" si="0"/>
        <v>1500</v>
      </c>
      <c r="F20" s="105">
        <f t="shared" si="1"/>
        <v>13.822966507177036</v>
      </c>
      <c r="G20" s="113">
        <f t="shared" si="2"/>
        <v>7.1770334928229662</v>
      </c>
      <c r="H20" s="107">
        <v>5</v>
      </c>
      <c r="I20" s="107">
        <v>3</v>
      </c>
      <c r="J20" s="107">
        <v>20</v>
      </c>
      <c r="K20" s="108">
        <v>1</v>
      </c>
      <c r="L20" s="109">
        <f t="shared" si="3"/>
        <v>50</v>
      </c>
      <c r="M20" s="110"/>
      <c r="N20" s="111">
        <v>39</v>
      </c>
    </row>
    <row r="21" spans="1:14" ht="15.75" customHeight="1">
      <c r="A21" s="241" t="s">
        <v>31</v>
      </c>
      <c r="B21" s="114"/>
      <c r="C21" s="102">
        <v>17</v>
      </c>
      <c r="D21" s="103">
        <v>216</v>
      </c>
      <c r="E21" s="104">
        <f t="shared" si="0"/>
        <v>1500</v>
      </c>
      <c r="F21" s="105">
        <f t="shared" si="1"/>
        <v>14.055555555555557</v>
      </c>
      <c r="G21" s="113">
        <f t="shared" si="2"/>
        <v>6.9444444444444446</v>
      </c>
      <c r="H21" s="107">
        <v>5</v>
      </c>
      <c r="I21" s="107">
        <v>3</v>
      </c>
      <c r="J21" s="107">
        <v>20</v>
      </c>
      <c r="K21" s="108">
        <v>1</v>
      </c>
      <c r="L21" s="109">
        <f t="shared" si="3"/>
        <v>50</v>
      </c>
      <c r="M21" s="110"/>
      <c r="N21" s="111">
        <v>39</v>
      </c>
    </row>
    <row r="22" spans="1:14" ht="15.75" customHeight="1">
      <c r="A22" s="241" t="s">
        <v>31</v>
      </c>
      <c r="B22" s="114"/>
      <c r="C22" s="102">
        <v>18</v>
      </c>
      <c r="D22" s="103">
        <v>179</v>
      </c>
      <c r="E22" s="104">
        <f t="shared" si="0"/>
        <v>1500</v>
      </c>
      <c r="F22" s="105">
        <f t="shared" si="1"/>
        <v>12.620111731843579</v>
      </c>
      <c r="G22" s="113">
        <f t="shared" si="2"/>
        <v>8.3798882681564244</v>
      </c>
      <c r="H22" s="107">
        <v>5</v>
      </c>
      <c r="I22" s="107">
        <v>3</v>
      </c>
      <c r="J22" s="107">
        <v>20</v>
      </c>
      <c r="K22" s="108">
        <v>1</v>
      </c>
      <c r="L22" s="109">
        <f t="shared" si="3"/>
        <v>50</v>
      </c>
      <c r="M22" s="110"/>
      <c r="N22" s="111">
        <v>39</v>
      </c>
    </row>
    <row r="23" spans="1:14" ht="15.75" customHeight="1">
      <c r="A23" s="241" t="s">
        <v>32</v>
      </c>
      <c r="B23" s="114"/>
      <c r="C23" s="102">
        <v>19</v>
      </c>
      <c r="D23" s="103">
        <v>279</v>
      </c>
      <c r="E23" s="104">
        <f t="shared" si="0"/>
        <v>1500</v>
      </c>
      <c r="F23" s="105">
        <f t="shared" si="1"/>
        <v>15.623655913978496</v>
      </c>
      <c r="G23" s="113">
        <f t="shared" si="2"/>
        <v>5.376344086021505</v>
      </c>
      <c r="H23" s="107">
        <v>5</v>
      </c>
      <c r="I23" s="107">
        <v>3</v>
      </c>
      <c r="J23" s="107">
        <v>20</v>
      </c>
      <c r="K23" s="108">
        <v>1</v>
      </c>
      <c r="L23" s="109">
        <f t="shared" si="3"/>
        <v>50</v>
      </c>
      <c r="M23" s="110"/>
      <c r="N23" s="111">
        <v>39</v>
      </c>
    </row>
    <row r="24" spans="1:14" ht="15.75" customHeight="1">
      <c r="A24" s="241" t="s">
        <v>32</v>
      </c>
      <c r="B24" s="114"/>
      <c r="C24" s="102">
        <v>20</v>
      </c>
      <c r="D24" s="103">
        <v>158</v>
      </c>
      <c r="E24" s="104">
        <f t="shared" si="0"/>
        <v>1500.0000000000002</v>
      </c>
      <c r="F24" s="105">
        <f t="shared" si="1"/>
        <v>11.506329113924053</v>
      </c>
      <c r="G24" s="113">
        <f t="shared" si="2"/>
        <v>9.4936708860759502</v>
      </c>
      <c r="H24" s="107">
        <v>5</v>
      </c>
      <c r="I24" s="107">
        <v>3</v>
      </c>
      <c r="J24" s="107">
        <v>20</v>
      </c>
      <c r="K24" s="108">
        <v>1</v>
      </c>
      <c r="L24" s="109">
        <f t="shared" si="3"/>
        <v>50</v>
      </c>
      <c r="M24" s="110"/>
      <c r="N24" s="111">
        <v>39</v>
      </c>
    </row>
    <row r="25" spans="1:14" ht="15.75" customHeight="1">
      <c r="A25" s="241" t="s">
        <v>32</v>
      </c>
      <c r="B25" s="114"/>
      <c r="C25" s="102">
        <v>21</v>
      </c>
      <c r="D25" s="103">
        <v>201</v>
      </c>
      <c r="E25" s="104">
        <f t="shared" si="0"/>
        <v>1500</v>
      </c>
      <c r="F25" s="105">
        <f t="shared" si="1"/>
        <v>13.537313432835816</v>
      </c>
      <c r="G25" s="113">
        <f t="shared" si="2"/>
        <v>7.4626865671641793</v>
      </c>
      <c r="H25" s="107">
        <v>5</v>
      </c>
      <c r="I25" s="107">
        <v>3</v>
      </c>
      <c r="J25" s="107">
        <v>20</v>
      </c>
      <c r="K25" s="108">
        <v>1</v>
      </c>
      <c r="L25" s="109">
        <f t="shared" si="3"/>
        <v>50</v>
      </c>
      <c r="M25" s="110"/>
      <c r="N25" s="111">
        <v>39</v>
      </c>
    </row>
    <row r="26" spans="1:14" ht="15.75" customHeight="1">
      <c r="A26" s="241" t="s">
        <v>113</v>
      </c>
      <c r="B26" s="114"/>
      <c r="C26" s="102">
        <v>22</v>
      </c>
      <c r="D26" s="103">
        <v>177</v>
      </c>
      <c r="E26" s="104">
        <f t="shared" si="0"/>
        <v>1500</v>
      </c>
      <c r="F26" s="105">
        <f t="shared" si="1"/>
        <v>12.525423728813557</v>
      </c>
      <c r="G26" s="113">
        <f t="shared" si="2"/>
        <v>8.4745762711864412</v>
      </c>
      <c r="H26" s="107">
        <v>5</v>
      </c>
      <c r="I26" s="107">
        <v>3</v>
      </c>
      <c r="J26" s="107">
        <v>20</v>
      </c>
      <c r="K26" s="108">
        <v>1</v>
      </c>
      <c r="L26" s="109">
        <f t="shared" si="3"/>
        <v>50</v>
      </c>
      <c r="M26" s="110"/>
      <c r="N26" s="111">
        <v>39</v>
      </c>
    </row>
    <row r="27" spans="1:14" ht="15.75" customHeight="1">
      <c r="A27" s="241" t="s">
        <v>113</v>
      </c>
      <c r="B27" s="114"/>
      <c r="C27" s="102">
        <v>23</v>
      </c>
      <c r="D27" s="103">
        <v>275</v>
      </c>
      <c r="E27" s="104">
        <f t="shared" si="0"/>
        <v>1500</v>
      </c>
      <c r="F27" s="105">
        <f t="shared" si="1"/>
        <v>15.545454545454547</v>
      </c>
      <c r="G27" s="113">
        <f t="shared" si="2"/>
        <v>5.4545454545454541</v>
      </c>
      <c r="H27" s="107">
        <v>5</v>
      </c>
      <c r="I27" s="107">
        <v>3</v>
      </c>
      <c r="J27" s="107">
        <v>20</v>
      </c>
      <c r="K27" s="108">
        <v>1</v>
      </c>
      <c r="L27" s="109">
        <f t="shared" si="3"/>
        <v>50</v>
      </c>
      <c r="M27" s="110"/>
      <c r="N27" s="111">
        <v>39</v>
      </c>
    </row>
    <row r="28" spans="1:14" ht="15.75" customHeight="1">
      <c r="A28" s="241" t="s">
        <v>113</v>
      </c>
      <c r="B28" s="114"/>
      <c r="C28" s="102">
        <v>24</v>
      </c>
      <c r="D28" s="103">
        <v>140</v>
      </c>
      <c r="E28" s="104">
        <f t="shared" si="0"/>
        <v>1500</v>
      </c>
      <c r="F28" s="105">
        <f t="shared" si="1"/>
        <v>10.285714285714285</v>
      </c>
      <c r="G28" s="113">
        <f t="shared" si="2"/>
        <v>10.714285714285714</v>
      </c>
      <c r="H28" s="107">
        <v>5</v>
      </c>
      <c r="I28" s="107">
        <v>3</v>
      </c>
      <c r="J28" s="107">
        <v>20</v>
      </c>
      <c r="K28" s="108">
        <v>1</v>
      </c>
      <c r="L28" s="109">
        <f t="shared" si="3"/>
        <v>50</v>
      </c>
      <c r="M28" s="110"/>
      <c r="N28" s="111">
        <v>39</v>
      </c>
    </row>
    <row r="29" spans="1:14" ht="15.75" customHeight="1">
      <c r="A29" s="241" t="s">
        <v>114</v>
      </c>
      <c r="B29" s="112"/>
      <c r="C29" s="102">
        <v>25</v>
      </c>
      <c r="D29" s="103">
        <v>182</v>
      </c>
      <c r="E29" s="104">
        <f t="shared" si="0"/>
        <v>1499.9999999999998</v>
      </c>
      <c r="F29" s="105">
        <f t="shared" si="1"/>
        <v>12.758241758241759</v>
      </c>
      <c r="G29" s="113">
        <f t="shared" si="2"/>
        <v>8.2417582417582409</v>
      </c>
      <c r="H29" s="107">
        <v>5</v>
      </c>
      <c r="I29" s="107">
        <v>3</v>
      </c>
      <c r="J29" s="107">
        <v>20</v>
      </c>
      <c r="K29" s="108">
        <v>1</v>
      </c>
      <c r="L29" s="109">
        <f t="shared" si="3"/>
        <v>50</v>
      </c>
      <c r="M29" s="110"/>
      <c r="N29" s="111">
        <v>39</v>
      </c>
    </row>
    <row r="30" spans="1:14" ht="15.75" customHeight="1">
      <c r="A30" s="241" t="s">
        <v>114</v>
      </c>
      <c r="B30" s="112"/>
      <c r="C30" s="102">
        <v>26</v>
      </c>
      <c r="D30" s="103">
        <v>193</v>
      </c>
      <c r="E30" s="104">
        <f t="shared" si="0"/>
        <v>1500</v>
      </c>
      <c r="F30" s="105">
        <f t="shared" si="1"/>
        <v>13.2279792746114</v>
      </c>
      <c r="G30" s="113">
        <f t="shared" si="2"/>
        <v>7.7720207253886011</v>
      </c>
      <c r="H30" s="107">
        <v>5</v>
      </c>
      <c r="I30" s="107">
        <v>3</v>
      </c>
      <c r="J30" s="107">
        <v>20</v>
      </c>
      <c r="K30" s="108">
        <v>1</v>
      </c>
      <c r="L30" s="109">
        <f t="shared" si="3"/>
        <v>50</v>
      </c>
      <c r="M30" s="110"/>
      <c r="N30" s="111">
        <v>39</v>
      </c>
    </row>
    <row r="31" spans="1:14" ht="15.75" customHeight="1">
      <c r="A31" s="241" t="s">
        <v>114</v>
      </c>
      <c r="B31" s="112"/>
      <c r="C31" s="102">
        <v>27</v>
      </c>
      <c r="D31" s="103">
        <v>191</v>
      </c>
      <c r="E31" s="104">
        <f t="shared" si="0"/>
        <v>1500</v>
      </c>
      <c r="F31" s="105">
        <f t="shared" si="1"/>
        <v>13.146596858638745</v>
      </c>
      <c r="G31" s="113">
        <f t="shared" si="2"/>
        <v>7.8534031413612562</v>
      </c>
      <c r="H31" s="107">
        <v>5</v>
      </c>
      <c r="I31" s="107">
        <v>3</v>
      </c>
      <c r="J31" s="107">
        <v>20</v>
      </c>
      <c r="K31" s="108">
        <v>1</v>
      </c>
      <c r="L31" s="109">
        <f t="shared" si="3"/>
        <v>50</v>
      </c>
      <c r="M31" s="110"/>
      <c r="N31" s="111">
        <v>39</v>
      </c>
    </row>
    <row r="32" spans="1:14" ht="15.75" customHeight="1">
      <c r="A32" s="241" t="s">
        <v>33</v>
      </c>
      <c r="B32" s="101"/>
      <c r="C32" s="102">
        <v>28</v>
      </c>
      <c r="D32" s="103">
        <v>285</v>
      </c>
      <c r="E32" s="104">
        <f t="shared" si="0"/>
        <v>1500</v>
      </c>
      <c r="F32" s="105">
        <f t="shared" si="1"/>
        <v>15.736842105263158</v>
      </c>
      <c r="G32" s="113">
        <f t="shared" si="2"/>
        <v>5.2631578947368425</v>
      </c>
      <c r="H32" s="107">
        <v>5</v>
      </c>
      <c r="I32" s="107">
        <v>3</v>
      </c>
      <c r="J32" s="107">
        <v>20</v>
      </c>
      <c r="K32" s="108">
        <v>1</v>
      </c>
      <c r="L32" s="109">
        <f t="shared" si="3"/>
        <v>50</v>
      </c>
      <c r="M32" s="110"/>
      <c r="N32" s="111">
        <v>39</v>
      </c>
    </row>
    <row r="33" spans="1:15" ht="15.75" customHeight="1">
      <c r="A33" s="241" t="s">
        <v>33</v>
      </c>
      <c r="B33" s="101"/>
      <c r="C33" s="102">
        <v>29</v>
      </c>
      <c r="D33" s="103">
        <v>141</v>
      </c>
      <c r="E33" s="104">
        <f t="shared" si="0"/>
        <v>1500</v>
      </c>
      <c r="F33" s="105">
        <f t="shared" si="1"/>
        <v>10.361702127659576</v>
      </c>
      <c r="G33" s="113">
        <f t="shared" si="2"/>
        <v>10.638297872340425</v>
      </c>
      <c r="H33" s="107">
        <v>5</v>
      </c>
      <c r="I33" s="107">
        <v>3</v>
      </c>
      <c r="J33" s="107">
        <v>20</v>
      </c>
      <c r="K33" s="108">
        <v>1</v>
      </c>
      <c r="L33" s="109">
        <f t="shared" si="3"/>
        <v>50</v>
      </c>
      <c r="M33" s="110"/>
      <c r="N33" s="111">
        <v>39</v>
      </c>
    </row>
    <row r="34" spans="1:15" ht="15.75" customHeight="1">
      <c r="A34" s="241" t="s">
        <v>33</v>
      </c>
      <c r="B34" s="101"/>
      <c r="C34" s="102">
        <v>30</v>
      </c>
      <c r="D34" s="103">
        <v>161</v>
      </c>
      <c r="E34" s="104">
        <f t="shared" si="0"/>
        <v>1500</v>
      </c>
      <c r="F34" s="105">
        <f t="shared" si="1"/>
        <v>11.683229813664596</v>
      </c>
      <c r="G34" s="113">
        <f t="shared" si="2"/>
        <v>9.316770186335404</v>
      </c>
      <c r="H34" s="107">
        <v>5</v>
      </c>
      <c r="I34" s="107">
        <v>3</v>
      </c>
      <c r="J34" s="107">
        <v>20</v>
      </c>
      <c r="K34" s="108">
        <v>1</v>
      </c>
      <c r="L34" s="109">
        <f t="shared" si="3"/>
        <v>50</v>
      </c>
      <c r="M34" s="110"/>
      <c r="N34" s="111">
        <v>39</v>
      </c>
    </row>
    <row r="35" spans="1:15" ht="15.75" customHeight="1">
      <c r="A35" s="241" t="s">
        <v>34</v>
      </c>
      <c r="B35" s="114"/>
      <c r="C35" s="102">
        <v>31</v>
      </c>
      <c r="D35" s="103">
        <v>148</v>
      </c>
      <c r="E35" s="104">
        <f t="shared" si="0"/>
        <v>1500</v>
      </c>
      <c r="F35" s="105">
        <f t="shared" si="1"/>
        <v>10.864864864864863</v>
      </c>
      <c r="G35" s="113">
        <f t="shared" si="2"/>
        <v>10.135135135135135</v>
      </c>
      <c r="H35" s="107">
        <v>5</v>
      </c>
      <c r="I35" s="107">
        <v>3</v>
      </c>
      <c r="J35" s="107">
        <v>20</v>
      </c>
      <c r="K35" s="108">
        <v>1</v>
      </c>
      <c r="L35" s="109">
        <f t="shared" si="3"/>
        <v>50</v>
      </c>
      <c r="M35" s="110"/>
      <c r="N35" s="111">
        <v>39</v>
      </c>
    </row>
    <row r="36" spans="1:15" ht="15.75" customHeight="1">
      <c r="A36" s="241" t="s">
        <v>34</v>
      </c>
      <c r="B36" s="114"/>
      <c r="C36" s="102">
        <v>32</v>
      </c>
      <c r="D36" s="103">
        <v>109</v>
      </c>
      <c r="E36" s="104">
        <f t="shared" si="0"/>
        <v>1500</v>
      </c>
      <c r="F36" s="105">
        <f t="shared" si="1"/>
        <v>7.2385321100917395</v>
      </c>
      <c r="G36" s="113">
        <f t="shared" si="2"/>
        <v>13.761467889908257</v>
      </c>
      <c r="H36" s="107">
        <v>5</v>
      </c>
      <c r="I36" s="107">
        <v>3</v>
      </c>
      <c r="J36" s="107">
        <v>20</v>
      </c>
      <c r="K36" s="108">
        <v>1</v>
      </c>
      <c r="L36" s="109">
        <f t="shared" si="3"/>
        <v>50</v>
      </c>
      <c r="M36" s="110"/>
      <c r="N36" s="111">
        <v>39</v>
      </c>
    </row>
    <row r="37" spans="1:15" ht="15.75" customHeight="1">
      <c r="A37" s="241" t="s">
        <v>34</v>
      </c>
      <c r="B37" s="112"/>
      <c r="C37" s="102">
        <v>33</v>
      </c>
      <c r="D37" s="103">
        <v>150</v>
      </c>
      <c r="E37" s="104">
        <f t="shared" si="0"/>
        <v>1500</v>
      </c>
      <c r="F37" s="105">
        <f t="shared" si="1"/>
        <v>11</v>
      </c>
      <c r="G37" s="113">
        <f t="shared" si="2"/>
        <v>10</v>
      </c>
      <c r="H37" s="107">
        <v>5</v>
      </c>
      <c r="I37" s="107">
        <v>3</v>
      </c>
      <c r="J37" s="107">
        <v>20</v>
      </c>
      <c r="K37" s="108">
        <v>1</v>
      </c>
      <c r="L37" s="109">
        <f t="shared" si="3"/>
        <v>50</v>
      </c>
      <c r="M37" s="110"/>
      <c r="N37" s="111">
        <v>39</v>
      </c>
    </row>
    <row r="38" spans="1:15" ht="15.75" customHeight="1">
      <c r="A38" s="241" t="s">
        <v>115</v>
      </c>
      <c r="B38" s="112"/>
      <c r="C38" s="102">
        <v>34</v>
      </c>
      <c r="D38" s="103">
        <v>189</v>
      </c>
      <c r="E38" s="104">
        <f t="shared" si="0"/>
        <v>1500</v>
      </c>
      <c r="F38" s="105">
        <f t="shared" si="1"/>
        <v>13.063492063492063</v>
      </c>
      <c r="G38" s="113">
        <f t="shared" si="2"/>
        <v>7.9365079365079367</v>
      </c>
      <c r="H38" s="107">
        <v>5</v>
      </c>
      <c r="I38" s="107">
        <v>3</v>
      </c>
      <c r="J38" s="107">
        <v>20</v>
      </c>
      <c r="K38" s="108">
        <v>1</v>
      </c>
      <c r="L38" s="109">
        <f t="shared" si="3"/>
        <v>50</v>
      </c>
      <c r="M38" s="110"/>
      <c r="N38" s="111">
        <v>39</v>
      </c>
    </row>
    <row r="39" spans="1:15" ht="15.75" customHeight="1">
      <c r="A39" s="241" t="s">
        <v>115</v>
      </c>
      <c r="B39" s="112"/>
      <c r="C39" s="102">
        <v>35</v>
      </c>
      <c r="D39" s="103">
        <v>152</v>
      </c>
      <c r="E39" s="104">
        <f t="shared" si="0"/>
        <v>1500</v>
      </c>
      <c r="F39" s="105">
        <f t="shared" si="1"/>
        <v>11.131578947368425</v>
      </c>
      <c r="G39" s="113">
        <f t="shared" si="2"/>
        <v>9.8684210526315788</v>
      </c>
      <c r="H39" s="107">
        <v>5</v>
      </c>
      <c r="I39" s="107">
        <v>3</v>
      </c>
      <c r="J39" s="107">
        <v>20</v>
      </c>
      <c r="K39" s="108">
        <v>1</v>
      </c>
      <c r="L39" s="109">
        <f t="shared" si="3"/>
        <v>50</v>
      </c>
      <c r="M39" s="110"/>
      <c r="N39" s="111">
        <v>39</v>
      </c>
    </row>
    <row r="40" spans="1:15" ht="15.75" customHeight="1">
      <c r="A40" s="241" t="s">
        <v>115</v>
      </c>
      <c r="B40" s="101"/>
      <c r="C40" s="102">
        <v>36</v>
      </c>
      <c r="D40" s="103">
        <v>185</v>
      </c>
      <c r="E40" s="104">
        <f t="shared" si="0"/>
        <v>1500.0000000000002</v>
      </c>
      <c r="F40" s="105">
        <f t="shared" si="1"/>
        <v>12.891891891891888</v>
      </c>
      <c r="G40" s="113">
        <f t="shared" si="2"/>
        <v>8.1081081081081088</v>
      </c>
      <c r="H40" s="107">
        <v>5</v>
      </c>
      <c r="I40" s="107">
        <v>3</v>
      </c>
      <c r="J40" s="107">
        <v>20</v>
      </c>
      <c r="K40" s="108">
        <v>1</v>
      </c>
      <c r="L40" s="109">
        <f t="shared" si="3"/>
        <v>50</v>
      </c>
      <c r="M40" s="110"/>
      <c r="N40" s="111">
        <v>39</v>
      </c>
    </row>
    <row r="41" spans="1:15" ht="15.75" customHeight="1"/>
    <row r="42" spans="1:15" ht="15.75" customHeight="1">
      <c r="H42" s="115" t="s">
        <v>65</v>
      </c>
      <c r="I42" s="115" t="s">
        <v>66</v>
      </c>
      <c r="L42" s="116" t="s">
        <v>17</v>
      </c>
      <c r="M42" s="115" t="s">
        <v>67</v>
      </c>
    </row>
    <row r="43" spans="1:15" ht="15.75" customHeight="1">
      <c r="H43" s="117">
        <f>5*38</f>
        <v>190</v>
      </c>
      <c r="I43" s="117">
        <f>3*38</f>
        <v>114</v>
      </c>
      <c r="J43" s="117">
        <f>20*38</f>
        <v>760</v>
      </c>
      <c r="K43" s="115">
        <f>38</f>
        <v>38</v>
      </c>
      <c r="L43" s="117">
        <f>H43+I43+K43+J43</f>
        <v>1102</v>
      </c>
      <c r="M43" s="118">
        <f>L43/38</f>
        <v>29</v>
      </c>
    </row>
    <row r="44" spans="1:15" ht="15.75" customHeight="1"/>
    <row r="45" spans="1:15" ht="15.7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15.7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ht="15.7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15.75" customHeight="1">
      <c r="A48" s="120"/>
      <c r="B48" s="121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4"/>
    </row>
    <row r="49" spans="1:15" ht="15.75" customHeight="1">
      <c r="A49" s="120"/>
      <c r="B49" s="125"/>
      <c r="C49" s="126"/>
      <c r="D49" s="126"/>
      <c r="E49" s="126"/>
      <c r="F49" s="127"/>
      <c r="G49" s="126"/>
      <c r="H49" s="127"/>
      <c r="I49" s="127"/>
      <c r="J49" s="127"/>
      <c r="K49" s="127"/>
      <c r="L49" s="127"/>
      <c r="M49" s="127"/>
      <c r="N49" s="127"/>
      <c r="O49" s="124"/>
    </row>
    <row r="50" spans="1:15" ht="15.75" customHeight="1">
      <c r="A50" s="120"/>
      <c r="B50" s="120"/>
      <c r="C50" s="123"/>
      <c r="D50" s="128"/>
      <c r="E50" s="123"/>
      <c r="F50" s="129"/>
      <c r="G50" s="129"/>
      <c r="H50" s="129"/>
      <c r="I50" s="129"/>
      <c r="J50" s="129"/>
      <c r="K50" s="129"/>
      <c r="L50" s="129"/>
      <c r="M50" s="129"/>
      <c r="N50" s="123"/>
      <c r="O50" s="124"/>
    </row>
    <row r="51" spans="1:15" ht="15.75" customHeight="1">
      <c r="A51" s="120"/>
      <c r="B51" s="120"/>
      <c r="C51" s="123"/>
      <c r="D51" s="128"/>
      <c r="E51" s="123"/>
      <c r="F51" s="129"/>
      <c r="G51" s="129"/>
      <c r="H51" s="129"/>
      <c r="I51" s="129"/>
      <c r="J51" s="129"/>
      <c r="K51" s="129"/>
      <c r="L51" s="129"/>
      <c r="M51" s="129"/>
      <c r="N51" s="123"/>
      <c r="O51" s="124"/>
    </row>
    <row r="52" spans="1:15" ht="15.75" customHeight="1">
      <c r="A52" s="120"/>
      <c r="B52" s="120"/>
      <c r="C52" s="123"/>
      <c r="D52" s="128"/>
      <c r="E52" s="123"/>
      <c r="F52" s="129"/>
      <c r="G52" s="129"/>
      <c r="H52" s="129"/>
      <c r="I52" s="129"/>
      <c r="J52" s="129"/>
      <c r="K52" s="129"/>
      <c r="L52" s="129"/>
      <c r="M52" s="129"/>
      <c r="N52" s="123"/>
      <c r="O52" s="124"/>
    </row>
    <row r="53" spans="1:15" ht="15.75" customHeight="1">
      <c r="A53" s="120"/>
      <c r="B53" s="120"/>
      <c r="C53" s="123"/>
      <c r="D53" s="128"/>
      <c r="E53" s="123"/>
      <c r="F53" s="129"/>
      <c r="G53" s="129"/>
      <c r="H53" s="129"/>
      <c r="I53" s="129"/>
      <c r="J53" s="129"/>
      <c r="K53" s="129"/>
      <c r="L53" s="129"/>
      <c r="M53" s="129"/>
      <c r="N53" s="123"/>
      <c r="O53" s="124"/>
    </row>
    <row r="54" spans="1:15" ht="15.75" customHeight="1">
      <c r="A54" s="120"/>
      <c r="B54" s="120"/>
      <c r="C54" s="123"/>
      <c r="D54" s="128"/>
      <c r="E54" s="123"/>
      <c r="F54" s="129"/>
      <c r="G54" s="130"/>
      <c r="H54" s="129"/>
      <c r="I54" s="129"/>
      <c r="J54" s="129"/>
      <c r="K54" s="129"/>
      <c r="L54" s="129"/>
      <c r="M54" s="129"/>
      <c r="N54" s="123"/>
      <c r="O54" s="124"/>
    </row>
    <row r="55" spans="1:15" ht="15.75" customHeight="1">
      <c r="A55" s="120"/>
      <c r="B55" s="120"/>
      <c r="C55" s="123"/>
      <c r="D55" s="128"/>
      <c r="E55" s="123"/>
      <c r="F55" s="129"/>
      <c r="G55" s="130"/>
      <c r="H55" s="129"/>
      <c r="I55" s="129"/>
      <c r="J55" s="129"/>
      <c r="K55" s="129"/>
      <c r="L55" s="129"/>
      <c r="M55" s="129"/>
      <c r="N55" s="123"/>
      <c r="O55" s="124"/>
    </row>
    <row r="56" spans="1:15" ht="15.75" customHeight="1">
      <c r="A56" s="120"/>
      <c r="B56" s="120"/>
      <c r="C56" s="123"/>
      <c r="D56" s="128"/>
      <c r="E56" s="123"/>
      <c r="F56" s="129"/>
      <c r="G56" s="130"/>
      <c r="H56" s="129"/>
      <c r="I56" s="129"/>
      <c r="J56" s="129"/>
      <c r="K56" s="129"/>
      <c r="L56" s="129"/>
      <c r="M56" s="129"/>
      <c r="N56" s="123"/>
      <c r="O56" s="124"/>
    </row>
    <row r="57" spans="1:15" ht="15.75" customHeight="1">
      <c r="A57" s="120"/>
      <c r="B57" s="120"/>
      <c r="C57" s="123"/>
      <c r="D57" s="128"/>
      <c r="E57" s="123"/>
      <c r="F57" s="129"/>
      <c r="G57" s="130"/>
      <c r="H57" s="129"/>
      <c r="I57" s="129"/>
      <c r="J57" s="129"/>
      <c r="K57" s="129"/>
      <c r="L57" s="129"/>
      <c r="M57" s="129"/>
      <c r="N57" s="123"/>
      <c r="O57" s="124"/>
    </row>
    <row r="58" spans="1:15" ht="15.75" customHeight="1">
      <c r="A58" s="120"/>
      <c r="B58" s="120"/>
      <c r="C58" s="123"/>
      <c r="D58" s="128"/>
      <c r="E58" s="123"/>
      <c r="F58" s="129"/>
      <c r="G58" s="130"/>
      <c r="H58" s="129"/>
      <c r="I58" s="129"/>
      <c r="J58" s="129"/>
      <c r="K58" s="129"/>
      <c r="L58" s="129"/>
      <c r="M58" s="129"/>
      <c r="N58" s="123"/>
      <c r="O58" s="124"/>
    </row>
    <row r="59" spans="1:15" ht="15.75" customHeight="1">
      <c r="A59" s="120"/>
      <c r="B59" s="120"/>
      <c r="C59" s="123"/>
      <c r="D59" s="128"/>
      <c r="E59" s="123"/>
      <c r="F59" s="129"/>
      <c r="G59" s="130"/>
      <c r="H59" s="129"/>
      <c r="I59" s="129"/>
      <c r="J59" s="129"/>
      <c r="K59" s="129"/>
      <c r="L59" s="129"/>
      <c r="M59" s="129"/>
      <c r="N59" s="123"/>
      <c r="O59" s="124"/>
    </row>
    <row r="60" spans="1:15" ht="15.75" customHeight="1">
      <c r="A60" s="120"/>
      <c r="B60" s="120"/>
      <c r="C60" s="123"/>
      <c r="D60" s="128"/>
      <c r="E60" s="123"/>
      <c r="F60" s="129"/>
      <c r="G60" s="130"/>
      <c r="H60" s="129"/>
      <c r="I60" s="129"/>
      <c r="J60" s="129"/>
      <c r="K60" s="129"/>
      <c r="L60" s="129"/>
      <c r="M60" s="129"/>
      <c r="N60" s="123"/>
      <c r="O60" s="124"/>
    </row>
    <row r="61" spans="1:15" ht="15.75" customHeight="1">
      <c r="A61" s="120"/>
      <c r="B61" s="120"/>
      <c r="C61" s="123"/>
      <c r="D61" s="128"/>
      <c r="E61" s="123"/>
      <c r="F61" s="129"/>
      <c r="G61" s="129"/>
      <c r="H61" s="129"/>
      <c r="I61" s="129"/>
      <c r="J61" s="129"/>
      <c r="K61" s="129"/>
      <c r="L61" s="129"/>
      <c r="M61" s="129"/>
      <c r="N61" s="123"/>
      <c r="O61" s="124"/>
    </row>
    <row r="62" spans="1:15" ht="15.75" customHeight="1">
      <c r="A62" s="120"/>
      <c r="B62" s="120"/>
      <c r="C62" s="123"/>
      <c r="D62" s="128"/>
      <c r="E62" s="123"/>
      <c r="F62" s="129"/>
      <c r="G62" s="129"/>
      <c r="H62" s="129"/>
      <c r="I62" s="129"/>
      <c r="J62" s="129"/>
      <c r="K62" s="129"/>
      <c r="L62" s="129"/>
      <c r="M62" s="129"/>
      <c r="N62" s="123"/>
      <c r="O62" s="124"/>
    </row>
    <row r="63" spans="1:15" ht="15.75" customHeight="1">
      <c r="A63" s="120"/>
      <c r="B63" s="120"/>
      <c r="C63" s="123"/>
      <c r="D63" s="128"/>
      <c r="E63" s="123"/>
      <c r="F63" s="129"/>
      <c r="G63" s="129"/>
      <c r="H63" s="129"/>
      <c r="I63" s="129"/>
      <c r="J63" s="129"/>
      <c r="K63" s="129"/>
      <c r="L63" s="129"/>
      <c r="M63" s="129"/>
      <c r="N63" s="123"/>
      <c r="O63" s="124"/>
    </row>
    <row r="64" spans="1:15" ht="15.75" customHeight="1">
      <c r="A64" s="120"/>
      <c r="B64" s="120"/>
      <c r="C64" s="123"/>
      <c r="D64" s="128"/>
      <c r="E64" s="123"/>
      <c r="F64" s="129"/>
      <c r="G64" s="129"/>
      <c r="H64" s="129"/>
      <c r="I64" s="129"/>
      <c r="J64" s="129"/>
      <c r="K64" s="129"/>
      <c r="L64" s="129"/>
      <c r="M64" s="129"/>
      <c r="N64" s="123"/>
      <c r="O64" s="124"/>
    </row>
    <row r="65" spans="1:15" ht="15.75" customHeight="1">
      <c r="A65" s="120"/>
      <c r="B65" s="120"/>
      <c r="C65" s="123"/>
      <c r="D65" s="128"/>
      <c r="E65" s="123"/>
      <c r="F65" s="129"/>
      <c r="G65" s="129"/>
      <c r="H65" s="129"/>
      <c r="I65" s="129"/>
      <c r="J65" s="129"/>
      <c r="K65" s="129"/>
      <c r="L65" s="129"/>
      <c r="M65" s="129"/>
      <c r="N65" s="123"/>
      <c r="O65" s="124"/>
    </row>
    <row r="66" spans="1:15" ht="15.75" customHeight="1">
      <c r="A66" s="120"/>
      <c r="B66" s="120"/>
      <c r="C66" s="123"/>
      <c r="D66" s="128"/>
      <c r="E66" s="123"/>
      <c r="F66" s="129"/>
      <c r="G66" s="129"/>
      <c r="H66" s="129"/>
      <c r="I66" s="129"/>
      <c r="J66" s="129"/>
      <c r="K66" s="129"/>
      <c r="L66" s="129"/>
      <c r="M66" s="129"/>
      <c r="N66" s="123"/>
      <c r="O66" s="124"/>
    </row>
    <row r="67" spans="1:15" ht="15.75" customHeight="1">
      <c r="A67" s="120"/>
      <c r="B67" s="120"/>
      <c r="C67" s="123"/>
      <c r="D67" s="128"/>
      <c r="E67" s="123"/>
      <c r="F67" s="129"/>
      <c r="G67" s="129"/>
      <c r="H67" s="129"/>
      <c r="I67" s="129"/>
      <c r="J67" s="129"/>
      <c r="K67" s="129"/>
      <c r="L67" s="129"/>
      <c r="M67" s="129"/>
      <c r="N67" s="123"/>
      <c r="O67" s="124"/>
    </row>
    <row r="68" spans="1:15" ht="15.75" customHeight="1">
      <c r="A68" s="120"/>
      <c r="B68" s="120"/>
      <c r="C68" s="123"/>
      <c r="D68" s="128"/>
      <c r="E68" s="123"/>
      <c r="F68" s="129"/>
      <c r="G68" s="129"/>
      <c r="H68" s="129"/>
      <c r="I68" s="129"/>
      <c r="J68" s="129"/>
      <c r="K68" s="129"/>
      <c r="L68" s="129"/>
      <c r="M68" s="129"/>
      <c r="N68" s="123"/>
      <c r="O68" s="124"/>
    </row>
    <row r="69" spans="1:15" ht="15.75" customHeight="1">
      <c r="A69" s="120"/>
      <c r="B69" s="120"/>
      <c r="C69" s="123"/>
      <c r="D69" s="128"/>
      <c r="E69" s="123"/>
      <c r="F69" s="129"/>
      <c r="G69" s="129"/>
      <c r="H69" s="129"/>
      <c r="I69" s="129"/>
      <c r="J69" s="129"/>
      <c r="K69" s="129"/>
      <c r="L69" s="129"/>
      <c r="M69" s="129"/>
      <c r="N69" s="123"/>
      <c r="O69" s="124"/>
    </row>
    <row r="70" spans="1:15" ht="15.75" customHeight="1">
      <c r="A70" s="120"/>
      <c r="B70" s="120"/>
      <c r="C70" s="123"/>
      <c r="D70" s="128"/>
      <c r="E70" s="123"/>
      <c r="F70" s="129"/>
      <c r="G70" s="129"/>
      <c r="H70" s="129"/>
      <c r="I70" s="129"/>
      <c r="J70" s="129"/>
      <c r="K70" s="129"/>
      <c r="L70" s="129"/>
      <c r="M70" s="129"/>
      <c r="N70" s="123"/>
      <c r="O70" s="124"/>
    </row>
    <row r="71" spans="1:15" ht="15.75" customHeight="1">
      <c r="A71" s="120"/>
      <c r="B71" s="120"/>
      <c r="C71" s="123"/>
      <c r="D71" s="128"/>
      <c r="E71" s="123"/>
      <c r="F71" s="129"/>
      <c r="G71" s="129"/>
      <c r="H71" s="129"/>
      <c r="I71" s="129"/>
      <c r="J71" s="129"/>
      <c r="K71" s="129"/>
      <c r="L71" s="129"/>
      <c r="M71" s="129"/>
      <c r="N71" s="123"/>
      <c r="O71" s="124"/>
    </row>
    <row r="72" spans="1:15" ht="15.75" customHeight="1">
      <c r="A72" s="120"/>
      <c r="B72" s="120"/>
      <c r="C72" s="123"/>
      <c r="D72" s="128"/>
      <c r="E72" s="123"/>
      <c r="F72" s="129"/>
      <c r="G72" s="129"/>
      <c r="H72" s="129"/>
      <c r="I72" s="129"/>
      <c r="J72" s="129"/>
      <c r="K72" s="129"/>
      <c r="L72" s="129"/>
      <c r="M72" s="129"/>
      <c r="N72" s="123"/>
      <c r="O72" s="124"/>
    </row>
    <row r="73" spans="1:15" ht="15.75" customHeight="1">
      <c r="A73" s="120"/>
      <c r="B73" s="120"/>
      <c r="C73" s="123"/>
      <c r="D73" s="128"/>
      <c r="E73" s="123"/>
      <c r="F73" s="129"/>
      <c r="G73" s="129"/>
      <c r="H73" s="129"/>
      <c r="I73" s="129"/>
      <c r="J73" s="129"/>
      <c r="K73" s="129"/>
      <c r="L73" s="129"/>
      <c r="M73" s="129"/>
      <c r="N73" s="123"/>
      <c r="O73" s="124"/>
    </row>
    <row r="74" spans="1:15" ht="15.75" customHeight="1">
      <c r="A74" s="120"/>
      <c r="B74" s="120"/>
      <c r="C74" s="123"/>
      <c r="D74" s="128"/>
      <c r="E74" s="123"/>
      <c r="F74" s="129"/>
      <c r="G74" s="130"/>
      <c r="H74" s="129"/>
      <c r="I74" s="129"/>
      <c r="J74" s="129"/>
      <c r="K74" s="129"/>
      <c r="L74" s="129"/>
      <c r="M74" s="129"/>
      <c r="N74" s="123"/>
      <c r="O74" s="124"/>
    </row>
    <row r="75" spans="1:15" ht="15.75" customHeight="1">
      <c r="A75" s="120"/>
      <c r="B75" s="120"/>
      <c r="C75" s="123"/>
      <c r="D75" s="128"/>
      <c r="E75" s="123"/>
      <c r="F75" s="129"/>
      <c r="G75" s="130"/>
      <c r="H75" s="129"/>
      <c r="I75" s="129"/>
      <c r="J75" s="129"/>
      <c r="K75" s="129"/>
      <c r="L75" s="129"/>
      <c r="M75" s="129"/>
      <c r="N75" s="123"/>
      <c r="O75" s="124"/>
    </row>
    <row r="76" spans="1:15" ht="15.75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</row>
    <row r="77" spans="1:15" ht="15.75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ht="15.75" customHeight="1">
      <c r="A78" s="124"/>
      <c r="B78" s="124"/>
      <c r="C78" s="124"/>
      <c r="D78" s="124"/>
      <c r="E78" s="124"/>
      <c r="F78" s="124"/>
      <c r="G78" s="124"/>
      <c r="H78" s="131"/>
      <c r="I78" s="131"/>
      <c r="J78" s="131"/>
      <c r="K78" s="124"/>
      <c r="L78" s="124"/>
      <c r="M78" s="124"/>
      <c r="N78" s="124"/>
      <c r="O78" s="124"/>
    </row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000"/>
  <sheetViews>
    <sheetView workbookViewId="0">
      <selection activeCell="A18" sqref="A18"/>
    </sheetView>
  </sheetViews>
  <sheetFormatPr baseColWidth="10" defaultColWidth="12.5703125" defaultRowHeight="15" customHeight="1" x14ac:dyDescent="0"/>
  <cols>
    <col min="1" max="1" width="9.85546875" customWidth="1"/>
    <col min="2" max="2" width="8.5703125" customWidth="1"/>
    <col min="3" max="3" width="8.28515625" customWidth="1"/>
    <col min="4" max="4" width="12.140625" customWidth="1"/>
    <col min="5" max="6" width="11.42578125" customWidth="1"/>
    <col min="7" max="7" width="8.28515625" customWidth="1"/>
    <col min="8" max="8" width="9.7109375" customWidth="1"/>
    <col min="9" max="9" width="10.28515625" customWidth="1"/>
    <col min="10" max="10" width="7.28515625" customWidth="1"/>
    <col min="11" max="11" width="8.7109375" customWidth="1"/>
    <col min="12" max="12" width="8.28515625" customWidth="1"/>
    <col min="13" max="13" width="8.7109375" customWidth="1"/>
    <col min="14" max="14" width="11.5703125" customWidth="1"/>
    <col min="15" max="15" width="10" customWidth="1"/>
    <col min="16" max="16" width="9.42578125" customWidth="1"/>
    <col min="17" max="17" width="8" customWidth="1"/>
    <col min="18" max="18" width="8.140625" customWidth="1"/>
    <col min="19" max="19" width="7.7109375" customWidth="1"/>
    <col min="20" max="20" width="9.42578125" customWidth="1"/>
    <col min="21" max="21" width="9.7109375" customWidth="1"/>
    <col min="22" max="22" width="7.7109375" customWidth="1"/>
    <col min="23" max="23" width="8.140625" customWidth="1"/>
    <col min="24" max="24" width="5.85546875" customWidth="1"/>
    <col min="25" max="25" width="9" customWidth="1"/>
    <col min="26" max="26" width="10.5703125" customWidth="1"/>
    <col min="27" max="27" width="8" customWidth="1"/>
  </cols>
  <sheetData>
    <row r="1" spans="1:27" ht="30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32"/>
      <c r="N1" s="133" t="s">
        <v>68</v>
      </c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27" ht="18">
      <c r="A2" s="134">
        <f t="shared" ref="A2:G2" si="0">A3*A5</f>
        <v>0</v>
      </c>
      <c r="B2" s="134">
        <f t="shared" si="0"/>
        <v>0</v>
      </c>
      <c r="C2" s="134">
        <f t="shared" si="0"/>
        <v>51.075005999999995</v>
      </c>
      <c r="D2" s="134">
        <f t="shared" si="0"/>
        <v>7.655172413793089</v>
      </c>
      <c r="E2" s="135">
        <f t="shared" si="0"/>
        <v>4.5567486023604602E-2</v>
      </c>
      <c r="F2" s="135">
        <f t="shared" si="0"/>
        <v>4.3010400000000004E-2</v>
      </c>
      <c r="G2" s="136">
        <f t="shared" si="0"/>
        <v>0.10885922330097059</v>
      </c>
      <c r="H2" s="137" t="s">
        <v>25</v>
      </c>
      <c r="I2" s="137"/>
      <c r="J2" s="137"/>
      <c r="K2" s="138">
        <f t="shared" ref="K2:N2" si="1">K3*K5</f>
        <v>0.32202970297029604</v>
      </c>
      <c r="L2" s="138">
        <f t="shared" si="1"/>
        <v>0.1608</v>
      </c>
      <c r="M2" s="138">
        <f t="shared" si="1"/>
        <v>0</v>
      </c>
      <c r="N2" s="138">
        <f t="shared" si="1"/>
        <v>0</v>
      </c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120"/>
    </row>
    <row r="3" spans="1:27" ht="18">
      <c r="A3" s="134">
        <v>3687.06055794965</v>
      </c>
      <c r="B3" s="134">
        <v>73.778490000000005</v>
      </c>
      <c r="C3" s="141">
        <v>264.08999999999997</v>
      </c>
      <c r="D3" s="134">
        <v>25.517241379310299</v>
      </c>
      <c r="E3" s="142">
        <v>0.15189162007868201</v>
      </c>
      <c r="F3" s="142">
        <v>0.107526</v>
      </c>
      <c r="G3" s="136">
        <v>0.18143203883495099</v>
      </c>
      <c r="H3" s="143" t="s">
        <v>69</v>
      </c>
      <c r="I3" s="143"/>
      <c r="J3" s="143"/>
      <c r="K3" s="138">
        <v>1.61014851485148</v>
      </c>
      <c r="L3" s="138">
        <v>0.33500000000000002</v>
      </c>
      <c r="M3" s="138">
        <v>0.45010429245800898</v>
      </c>
      <c r="N3" s="144">
        <v>3.6</v>
      </c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40"/>
      <c r="AA3" s="120"/>
    </row>
    <row r="4" spans="1:27" ht="279" customHeight="1">
      <c r="A4" s="145" t="s">
        <v>70</v>
      </c>
      <c r="B4" s="145" t="s">
        <v>71</v>
      </c>
      <c r="C4" s="145" t="s">
        <v>72</v>
      </c>
      <c r="D4" s="145" t="s">
        <v>73</v>
      </c>
      <c r="E4" s="145" t="s">
        <v>74</v>
      </c>
      <c r="F4" s="145" t="s">
        <v>75</v>
      </c>
      <c r="G4" s="146" t="s">
        <v>76</v>
      </c>
      <c r="H4" s="147"/>
      <c r="I4" s="147"/>
      <c r="J4" s="147" t="s">
        <v>77</v>
      </c>
      <c r="K4" s="148" t="s">
        <v>78</v>
      </c>
      <c r="L4" s="148" t="s">
        <v>79</v>
      </c>
      <c r="M4" s="148" t="s">
        <v>80</v>
      </c>
      <c r="N4" s="148" t="s">
        <v>81</v>
      </c>
      <c r="O4" s="149" t="s">
        <v>82</v>
      </c>
      <c r="P4" s="150" t="s">
        <v>83</v>
      </c>
      <c r="Q4" s="151" t="s">
        <v>84</v>
      </c>
      <c r="R4" s="152" t="s">
        <v>85</v>
      </c>
      <c r="S4" s="153" t="s">
        <v>86</v>
      </c>
      <c r="T4" s="154" t="s">
        <v>87</v>
      </c>
      <c r="U4" s="154" t="s">
        <v>83</v>
      </c>
      <c r="V4" s="154" t="s">
        <v>88</v>
      </c>
      <c r="W4" s="147" t="s">
        <v>89</v>
      </c>
      <c r="X4" s="147" t="s">
        <v>90</v>
      </c>
      <c r="Y4" s="155" t="s">
        <v>91</v>
      </c>
      <c r="Z4" s="147" t="s">
        <v>92</v>
      </c>
      <c r="AA4" s="156" t="s">
        <v>93</v>
      </c>
    </row>
    <row r="5" spans="1:27" ht="18">
      <c r="A5" s="134"/>
      <c r="B5" s="134"/>
      <c r="C5" s="157">
        <v>0.19339999999999999</v>
      </c>
      <c r="D5" s="157">
        <v>0.3</v>
      </c>
      <c r="E5" s="157">
        <v>0.3</v>
      </c>
      <c r="F5" s="157">
        <v>0.4</v>
      </c>
      <c r="G5" s="158">
        <v>0.6</v>
      </c>
      <c r="H5" s="143"/>
      <c r="I5" s="143"/>
      <c r="J5" s="143">
        <f>3-SUM(K5:N5,A5:G5)</f>
        <v>0.52659999999999973</v>
      </c>
      <c r="K5" s="159">
        <v>0.2</v>
      </c>
      <c r="L5" s="159">
        <v>0.48</v>
      </c>
      <c r="M5" s="159">
        <v>0</v>
      </c>
      <c r="N5" s="144">
        <v>0</v>
      </c>
      <c r="O5" s="160">
        <f>SUM(A5:N5)</f>
        <v>3</v>
      </c>
      <c r="P5" s="161">
        <f>7.5-O5-Q5-R5-S5</f>
        <v>0.60000000000000009</v>
      </c>
      <c r="Q5" s="162">
        <f>0.6*1.5</f>
        <v>0.89999999999999991</v>
      </c>
      <c r="R5" s="162">
        <v>1.5</v>
      </c>
      <c r="S5" s="162">
        <v>1.5</v>
      </c>
      <c r="T5" s="163">
        <f>2.6*1.5</f>
        <v>3.9000000000000004</v>
      </c>
      <c r="U5" s="164">
        <f>7.5-T5-V5</f>
        <v>1.0999999999999996</v>
      </c>
      <c r="V5" s="164">
        <v>2.5</v>
      </c>
      <c r="W5" s="165">
        <v>50</v>
      </c>
      <c r="X5" s="166">
        <v>39</v>
      </c>
      <c r="Y5" s="167">
        <f>W5-SUM(O5:V5)</f>
        <v>35</v>
      </c>
      <c r="Z5" s="168">
        <f>10000/Y5</f>
        <v>285.71428571428572</v>
      </c>
      <c r="AA5" s="169" t="s">
        <v>94</v>
      </c>
    </row>
    <row r="6" spans="1:27" ht="18">
      <c r="A6" s="170"/>
      <c r="B6" s="170"/>
      <c r="C6" s="170"/>
      <c r="D6" s="170"/>
      <c r="E6" s="170"/>
      <c r="F6" s="170"/>
      <c r="G6" s="170"/>
      <c r="H6" s="170"/>
      <c r="I6" s="139"/>
      <c r="J6" s="139"/>
      <c r="K6" s="139"/>
      <c r="L6" s="139"/>
      <c r="M6" s="139"/>
      <c r="N6" s="139"/>
      <c r="O6" s="171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68">
        <f>6000/Y5</f>
        <v>171.42857142857142</v>
      </c>
      <c r="AA6" s="169" t="s">
        <v>95</v>
      </c>
    </row>
    <row r="7" spans="1:27" ht="18">
      <c r="A7" s="172"/>
      <c r="B7" s="172"/>
      <c r="C7" s="172"/>
      <c r="D7" s="172"/>
      <c r="E7" s="172"/>
      <c r="F7" s="172"/>
      <c r="G7" s="172"/>
      <c r="H7" s="172"/>
      <c r="I7" s="173"/>
      <c r="J7" s="174"/>
      <c r="K7" s="174"/>
      <c r="L7" s="174"/>
      <c r="M7" s="174"/>
      <c r="N7" s="172"/>
      <c r="O7" s="174"/>
      <c r="P7" s="174"/>
      <c r="Q7" s="174"/>
      <c r="R7" s="174"/>
      <c r="S7" s="174"/>
      <c r="T7" s="175"/>
      <c r="U7" s="175"/>
      <c r="V7" s="175"/>
      <c r="W7" s="139"/>
      <c r="X7" s="139"/>
      <c r="Y7" s="139"/>
      <c r="Z7" s="168">
        <f>3000/Y5</f>
        <v>85.714285714285708</v>
      </c>
      <c r="AA7" s="169" t="s">
        <v>96</v>
      </c>
    </row>
    <row r="8" spans="1:27" ht="18">
      <c r="A8" s="162"/>
      <c r="B8" s="162"/>
      <c r="C8" s="162">
        <f>C5*A19</f>
        <v>1.9339999999999999</v>
      </c>
      <c r="D8" s="162">
        <f>D5*A19</f>
        <v>3</v>
      </c>
      <c r="E8" s="162">
        <f>E5*A19</f>
        <v>3</v>
      </c>
      <c r="F8" s="162">
        <f>F5*A19</f>
        <v>4</v>
      </c>
      <c r="G8" s="162">
        <f>G5*A19</f>
        <v>6</v>
      </c>
      <c r="H8" s="176"/>
      <c r="I8" s="177"/>
      <c r="J8" s="162">
        <f>J5*A19</f>
        <v>5.2659999999999973</v>
      </c>
      <c r="K8" s="162">
        <f>K5*A19</f>
        <v>2</v>
      </c>
      <c r="L8" s="162">
        <f>L5*A19</f>
        <v>4.8</v>
      </c>
      <c r="M8" s="162">
        <f>M5*A19</f>
        <v>0</v>
      </c>
      <c r="N8" s="178">
        <f>N5*A19</f>
        <v>0</v>
      </c>
      <c r="O8" s="179">
        <f>SUM(A8:N8)</f>
        <v>30</v>
      </c>
      <c r="P8" s="180">
        <f>P5*A19</f>
        <v>6.0000000000000009</v>
      </c>
      <c r="Q8" s="181">
        <f>Q5*A19</f>
        <v>9</v>
      </c>
      <c r="R8" s="181">
        <f>R5*A19</f>
        <v>15</v>
      </c>
      <c r="S8" s="182">
        <f>S5*A19</f>
        <v>15</v>
      </c>
      <c r="T8" s="180">
        <f>T5*A19</f>
        <v>39</v>
      </c>
      <c r="U8" s="183">
        <f>U5*A19</f>
        <v>10.999999999999996</v>
      </c>
      <c r="V8" s="182">
        <f>V5*A19</f>
        <v>25</v>
      </c>
      <c r="W8" s="184"/>
      <c r="X8" s="139"/>
      <c r="Y8" s="139"/>
      <c r="Z8" s="165"/>
      <c r="AA8" s="185"/>
    </row>
    <row r="9" spans="1:27" ht="18">
      <c r="A9" s="186"/>
      <c r="B9" s="186"/>
      <c r="C9" s="187"/>
      <c r="D9" s="188"/>
      <c r="E9" s="189"/>
      <c r="F9" s="188"/>
      <c r="G9" s="189"/>
      <c r="H9" s="187"/>
      <c r="I9" s="187"/>
      <c r="J9" s="187"/>
      <c r="K9" s="187"/>
      <c r="L9" s="187"/>
      <c r="M9" s="187"/>
      <c r="N9" s="174"/>
      <c r="O9" s="187"/>
      <c r="P9" s="187"/>
      <c r="Q9" s="186"/>
      <c r="R9" s="186"/>
      <c r="S9" s="162">
        <f>SUM(P8:S8)</f>
        <v>45</v>
      </c>
      <c r="T9" s="190"/>
      <c r="U9" s="190"/>
      <c r="V9" s="190"/>
      <c r="W9" s="139"/>
      <c r="X9" s="139"/>
      <c r="Y9" s="139"/>
      <c r="Z9" s="140"/>
      <c r="AA9" s="120"/>
    </row>
    <row r="10" spans="1:27" ht="18">
      <c r="A10" s="172"/>
      <c r="B10" s="191"/>
      <c r="C10" s="192"/>
      <c r="D10" s="193"/>
      <c r="E10" s="193"/>
      <c r="F10" s="193"/>
      <c r="G10" s="193"/>
      <c r="H10" s="193" t="s">
        <v>97</v>
      </c>
      <c r="I10" s="194" t="s">
        <v>97</v>
      </c>
      <c r="J10" s="192"/>
      <c r="K10" s="193"/>
      <c r="L10" s="193"/>
      <c r="M10" s="193"/>
      <c r="N10" s="193"/>
      <c r="O10" s="193" t="s">
        <v>97</v>
      </c>
      <c r="P10" s="194" t="s">
        <v>97</v>
      </c>
      <c r="Q10" s="195"/>
      <c r="R10" s="172"/>
      <c r="S10" s="162"/>
      <c r="T10" s="196"/>
      <c r="U10" s="196"/>
      <c r="V10" s="196"/>
      <c r="W10" s="139"/>
      <c r="X10" s="139"/>
      <c r="Y10" s="139"/>
      <c r="Z10" s="140"/>
      <c r="AA10" s="120"/>
    </row>
    <row r="11" spans="1:27" ht="18">
      <c r="A11" s="139"/>
      <c r="B11" s="197"/>
      <c r="C11" s="198" t="s">
        <v>98</v>
      </c>
      <c r="D11" s="139" t="s">
        <v>99</v>
      </c>
      <c r="E11" s="134">
        <f t="shared" ref="E11:G11" si="2">E3*1000</f>
        <v>151.89162007868202</v>
      </c>
      <c r="F11" s="134">
        <f t="shared" si="2"/>
        <v>107.526</v>
      </c>
      <c r="G11" s="199">
        <f t="shared" si="2"/>
        <v>181.43203883495099</v>
      </c>
      <c r="H11" s="139" t="s">
        <v>100</v>
      </c>
      <c r="I11" s="200" t="s">
        <v>83</v>
      </c>
      <c r="J11" s="201" t="s">
        <v>101</v>
      </c>
      <c r="K11" s="144">
        <f t="shared" ref="K11:L11" si="3">K3*100</f>
        <v>161.014851485148</v>
      </c>
      <c r="L11" s="144">
        <f t="shared" si="3"/>
        <v>33.5</v>
      </c>
      <c r="M11" s="144">
        <v>45.01042924580085</v>
      </c>
      <c r="N11" s="144">
        <f>N3*100</f>
        <v>360</v>
      </c>
      <c r="O11" s="139" t="s">
        <v>100</v>
      </c>
      <c r="P11" s="200" t="s">
        <v>83</v>
      </c>
      <c r="Q11" s="184"/>
      <c r="R11" s="139"/>
      <c r="S11" s="139"/>
      <c r="T11" s="139"/>
      <c r="U11" s="139"/>
      <c r="V11" s="139"/>
      <c r="W11" s="139"/>
      <c r="X11" s="139"/>
      <c r="Y11" s="139"/>
      <c r="Z11" s="140"/>
      <c r="AA11" s="120"/>
    </row>
    <row r="12" spans="1:27" ht="18">
      <c r="A12" s="139"/>
      <c r="B12" s="197"/>
      <c r="C12" s="198"/>
      <c r="D12" s="139" t="s">
        <v>97</v>
      </c>
      <c r="E12" s="162">
        <f t="shared" ref="E12:G12" si="4">E8</f>
        <v>3</v>
      </c>
      <c r="F12" s="162">
        <f t="shared" si="4"/>
        <v>4</v>
      </c>
      <c r="G12" s="162">
        <f t="shared" si="4"/>
        <v>6</v>
      </c>
      <c r="H12" s="167">
        <f>SUM(E12:G12)</f>
        <v>13</v>
      </c>
      <c r="I12" s="200"/>
      <c r="J12" s="202"/>
      <c r="K12" s="162">
        <f t="shared" ref="K12:N12" si="5">K8</f>
        <v>2</v>
      </c>
      <c r="L12" s="162">
        <f t="shared" si="5"/>
        <v>4.8</v>
      </c>
      <c r="M12" s="162">
        <f t="shared" si="5"/>
        <v>0</v>
      </c>
      <c r="N12" s="162">
        <f t="shared" si="5"/>
        <v>0</v>
      </c>
      <c r="O12" s="167">
        <f>SUM(K12:N12)</f>
        <v>6.8</v>
      </c>
      <c r="P12" s="200"/>
      <c r="Q12" s="184"/>
      <c r="R12" s="167">
        <f>4.6*(R8/25)*1.1</f>
        <v>3.036</v>
      </c>
      <c r="S12" s="139" t="s">
        <v>102</v>
      </c>
      <c r="T12" s="139"/>
      <c r="U12" s="139"/>
      <c r="V12" s="139"/>
      <c r="W12" s="139"/>
      <c r="X12" s="139"/>
      <c r="Y12" s="139"/>
      <c r="Z12" s="140"/>
      <c r="AA12" s="120"/>
    </row>
    <row r="13" spans="1:27" ht="18">
      <c r="A13" s="139"/>
      <c r="B13" s="197"/>
      <c r="C13" s="203" t="s">
        <v>103</v>
      </c>
      <c r="D13" s="139" t="s">
        <v>101</v>
      </c>
      <c r="E13" s="157">
        <f t="shared" ref="E13:G13" si="6">E11/10</f>
        <v>15.189162007868202</v>
      </c>
      <c r="F13" s="157">
        <f t="shared" si="6"/>
        <v>10.752599999999999</v>
      </c>
      <c r="G13" s="204">
        <f t="shared" si="6"/>
        <v>18.143203883495097</v>
      </c>
      <c r="H13" s="205"/>
      <c r="I13" s="206">
        <f>10*H12-H12</f>
        <v>117</v>
      </c>
      <c r="J13" s="202" t="s">
        <v>104</v>
      </c>
      <c r="K13" s="159">
        <f t="shared" ref="K13:N13" si="7">K11/10</f>
        <v>16.101485148514801</v>
      </c>
      <c r="L13" s="159">
        <f t="shared" si="7"/>
        <v>3.35</v>
      </c>
      <c r="M13" s="159">
        <f t="shared" si="7"/>
        <v>4.5010429245800854</v>
      </c>
      <c r="N13" s="159">
        <f t="shared" si="7"/>
        <v>36</v>
      </c>
      <c r="O13" s="207"/>
      <c r="P13" s="206">
        <f>10*O12-O12</f>
        <v>61.2</v>
      </c>
      <c r="Q13" s="184"/>
      <c r="R13" s="167">
        <f>20.4*(R8/25)*1.1</f>
        <v>13.463999999999999</v>
      </c>
      <c r="S13" s="208" t="s">
        <v>83</v>
      </c>
      <c r="T13" s="139"/>
      <c r="U13" s="139"/>
      <c r="V13" s="139"/>
      <c r="W13" s="139"/>
      <c r="X13" s="139"/>
      <c r="Y13" s="139"/>
      <c r="Z13" s="140"/>
      <c r="AA13" s="120"/>
    </row>
    <row r="14" spans="1:27" ht="18">
      <c r="A14" s="139"/>
      <c r="B14" s="197"/>
      <c r="C14" s="203" t="s">
        <v>103</v>
      </c>
      <c r="D14" s="139" t="s">
        <v>104</v>
      </c>
      <c r="E14" s="142">
        <f t="shared" ref="E14:G14" si="8">E13/10</f>
        <v>1.5189162007868202</v>
      </c>
      <c r="F14" s="142">
        <f t="shared" si="8"/>
        <v>1.0752599999999999</v>
      </c>
      <c r="G14" s="209">
        <f t="shared" si="8"/>
        <v>1.8143203883495098</v>
      </c>
      <c r="H14" s="210">
        <f>H12</f>
        <v>13</v>
      </c>
      <c r="I14" s="206">
        <f t="shared" ref="I14:I15" si="9">I13</f>
        <v>117</v>
      </c>
      <c r="J14" s="202" t="s">
        <v>105</v>
      </c>
      <c r="K14" s="138">
        <f t="shared" ref="K14:N14" si="10">K13/10</f>
        <v>1.61014851485148</v>
      </c>
      <c r="L14" s="138">
        <f t="shared" si="10"/>
        <v>0.33500000000000002</v>
      </c>
      <c r="M14" s="138">
        <f t="shared" si="10"/>
        <v>0.45010429245800854</v>
      </c>
      <c r="N14" s="211">
        <f t="shared" si="10"/>
        <v>3.6</v>
      </c>
      <c r="O14" s="212">
        <f>O12</f>
        <v>6.8</v>
      </c>
      <c r="P14" s="213">
        <f>P13</f>
        <v>61.2</v>
      </c>
      <c r="Q14" s="184"/>
      <c r="R14" s="139"/>
      <c r="S14" s="139"/>
      <c r="T14" s="139"/>
      <c r="U14" s="139"/>
      <c r="V14" s="139"/>
      <c r="W14" s="139"/>
      <c r="X14" s="139"/>
      <c r="Y14" s="139"/>
      <c r="Z14" s="140"/>
      <c r="AA14" s="120"/>
    </row>
    <row r="15" spans="1:27" ht="18">
      <c r="A15" s="139"/>
      <c r="B15" s="197"/>
      <c r="C15" s="214" t="s">
        <v>103</v>
      </c>
      <c r="D15" s="215" t="s">
        <v>105</v>
      </c>
      <c r="E15" s="216">
        <f t="shared" ref="E15:G15" si="11">E14/10</f>
        <v>0.15189162007868201</v>
      </c>
      <c r="F15" s="216">
        <f t="shared" si="11"/>
        <v>0.10752599999999998</v>
      </c>
      <c r="G15" s="217">
        <f t="shared" si="11"/>
        <v>0.18143203883495099</v>
      </c>
      <c r="H15" s="218">
        <f>H12</f>
        <v>13</v>
      </c>
      <c r="I15" s="219">
        <f t="shared" si="9"/>
        <v>117</v>
      </c>
      <c r="J15" s="220"/>
      <c r="K15" s="221"/>
      <c r="L15" s="221"/>
      <c r="M15" s="221"/>
      <c r="N15" s="221"/>
      <c r="O15" s="222"/>
      <c r="P15" s="223"/>
      <c r="Q15" s="184"/>
      <c r="R15" s="139"/>
      <c r="S15" s="139"/>
      <c r="T15" s="139"/>
      <c r="U15" s="139"/>
      <c r="V15" s="139"/>
      <c r="W15" s="139"/>
      <c r="X15" s="139"/>
      <c r="Y15" s="139"/>
      <c r="Z15" s="140"/>
      <c r="AA15" s="120"/>
    </row>
    <row r="16" spans="1:27" ht="14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</row>
    <row r="17" spans="1:27" ht="14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</row>
    <row r="18" spans="1:27" ht="18">
      <c r="A18" s="172" t="s">
        <v>116</v>
      </c>
      <c r="B18" s="172"/>
      <c r="C18" s="224"/>
      <c r="D18" s="172"/>
      <c r="E18" s="120"/>
      <c r="F18" s="120"/>
      <c r="G18" s="120"/>
      <c r="H18" s="120"/>
      <c r="I18" s="120"/>
      <c r="J18" s="120"/>
      <c r="K18" s="225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</row>
    <row r="19" spans="1:27" ht="18">
      <c r="A19" s="226">
        <v>10</v>
      </c>
      <c r="B19" s="227" t="s">
        <v>106</v>
      </c>
      <c r="C19" s="224"/>
      <c r="D19" s="172"/>
      <c r="E19" s="120"/>
      <c r="F19" s="120"/>
      <c r="G19" s="120"/>
      <c r="H19" s="120"/>
      <c r="I19" s="120"/>
      <c r="J19" s="120"/>
      <c r="K19" s="14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</row>
    <row r="20" spans="1:27" ht="18">
      <c r="A20" s="172">
        <f>A19</f>
        <v>10</v>
      </c>
      <c r="B20" s="227" t="s">
        <v>107</v>
      </c>
      <c r="C20" s="224"/>
      <c r="D20" s="228">
        <f>SUM(O8:S8)</f>
        <v>75</v>
      </c>
      <c r="E20" s="120"/>
      <c r="F20" s="120"/>
      <c r="G20" s="120"/>
      <c r="H20" s="120"/>
      <c r="I20" s="120"/>
      <c r="J20" s="120"/>
      <c r="K20" s="14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</row>
    <row r="21" spans="1:27" ht="15.75" customHeight="1">
      <c r="A21" s="172">
        <v>1</v>
      </c>
      <c r="B21" s="227" t="s">
        <v>107</v>
      </c>
      <c r="C21" s="229"/>
      <c r="D21" s="230">
        <f>D20/A19</f>
        <v>7.5</v>
      </c>
      <c r="E21" s="120"/>
      <c r="F21" s="120"/>
      <c r="G21" s="120"/>
      <c r="H21" s="120"/>
      <c r="I21" s="120"/>
      <c r="J21" s="120"/>
      <c r="K21" s="14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</row>
    <row r="22" spans="1:27" ht="15.75" customHeight="1">
      <c r="A22" s="196">
        <f>A19</f>
        <v>10</v>
      </c>
      <c r="B22" s="231" t="s">
        <v>108</v>
      </c>
      <c r="C22" s="232"/>
      <c r="D22" s="233"/>
      <c r="E22" s="120"/>
      <c r="F22" s="120"/>
      <c r="G22" s="120"/>
      <c r="H22" s="120"/>
      <c r="I22" s="120"/>
      <c r="J22" s="120"/>
      <c r="K22" s="14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</row>
    <row r="23" spans="1:27" ht="15.75" customHeight="1">
      <c r="A23" s="196">
        <f>A19</f>
        <v>10</v>
      </c>
      <c r="B23" s="231" t="s">
        <v>107</v>
      </c>
      <c r="C23" s="232"/>
      <c r="D23" s="234">
        <f>SUM(T8:V8)</f>
        <v>75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</row>
    <row r="24" spans="1:27" ht="15.75" customHeight="1">
      <c r="A24" s="196">
        <v>1</v>
      </c>
      <c r="B24" s="231" t="s">
        <v>107</v>
      </c>
      <c r="C24" s="235"/>
      <c r="D24" s="236">
        <f>D23/A22</f>
        <v>7.5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</row>
    <row r="25" spans="1:27" ht="15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</row>
    <row r="26" spans="1:27" ht="15.7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</row>
    <row r="27" spans="1:27" ht="15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</row>
    <row r="28" spans="1:27" ht="15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</row>
    <row r="29" spans="1:27" ht="15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  <row r="30" spans="1:27" ht="15.7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</row>
    <row r="31" spans="1:27" ht="15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</row>
    <row r="32" spans="1:27" ht="15.7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</row>
    <row r="33" spans="1:27" ht="15.7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</row>
    <row r="34" spans="1:27" ht="15.7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</row>
    <row r="35" spans="1:27" ht="15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</row>
    <row r="36" spans="1:27" ht="15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</row>
    <row r="37" spans="1:27" ht="15.7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</row>
    <row r="38" spans="1:27" ht="15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</row>
    <row r="39" spans="1:27" ht="15.7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</row>
    <row r="40" spans="1:27" ht="15.7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</row>
    <row r="41" spans="1:27" ht="15.7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</row>
    <row r="42" spans="1:27" ht="15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</row>
    <row r="43" spans="1:27" ht="15.7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</row>
    <row r="44" spans="1:27" ht="15.7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ht="15.7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</row>
    <row r="46" spans="1:27" ht="15.7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  <row r="47" spans="1:27" ht="15.7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ht="15.7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</row>
    <row r="49" spans="1:27" ht="15.7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</row>
    <row r="50" spans="1:27" ht="15.7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</row>
    <row r="51" spans="1:27" ht="15.7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</row>
    <row r="52" spans="1:27" ht="15.7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</row>
    <row r="53" spans="1:27" ht="15.7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</row>
    <row r="54" spans="1:27" ht="15.7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</row>
    <row r="55" spans="1:27" ht="15.7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</row>
    <row r="56" spans="1:27" ht="15.7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</row>
    <row r="57" spans="1:27" ht="15.7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</row>
    <row r="58" spans="1:27" ht="15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</row>
    <row r="59" spans="1:27" ht="15.7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</row>
    <row r="60" spans="1:27" ht="15.7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</row>
    <row r="61" spans="1:27" ht="15.7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</row>
    <row r="62" spans="1:27" ht="15.7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</row>
    <row r="63" spans="1:27" ht="15.7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</row>
    <row r="64" spans="1:27" ht="15.7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</row>
    <row r="65" spans="1:27" ht="15.7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</row>
    <row r="66" spans="1:27" ht="15.7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</row>
    <row r="67" spans="1:27" ht="15.7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</row>
    <row r="68" spans="1:27" ht="15.7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15.7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</row>
    <row r="70" spans="1:27" ht="15.7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</row>
    <row r="71" spans="1:27" ht="15.7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</row>
    <row r="72" spans="1:27" ht="15.7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</row>
    <row r="73" spans="1:27" ht="15.7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15.7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</row>
    <row r="75" spans="1:27" ht="15.7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</row>
    <row r="76" spans="1:27" ht="15.7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</row>
    <row r="77" spans="1:27" ht="15.7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</row>
    <row r="78" spans="1:27" ht="15.7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</row>
    <row r="79" spans="1:27" ht="15.7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</row>
    <row r="80" spans="1:27" ht="15.7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</row>
    <row r="81" spans="1:27" ht="15.7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</row>
    <row r="82" spans="1:27" ht="15.75" customHeight="1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</row>
    <row r="83" spans="1:27" ht="15.7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</row>
    <row r="84" spans="1:27" ht="15.75" customHeight="1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</row>
    <row r="85" spans="1:27" ht="15.75" customHeight="1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</row>
    <row r="86" spans="1:27" ht="15.75" customHeight="1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</row>
    <row r="87" spans="1:27" ht="15.75" customHeight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</row>
    <row r="88" spans="1:27" ht="15.75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</row>
    <row r="89" spans="1:27" ht="15.75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</row>
    <row r="90" spans="1:27" ht="15.75" customHeight="1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</row>
    <row r="91" spans="1:27" ht="15.7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</row>
    <row r="92" spans="1:27" ht="15.75" customHeight="1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</row>
    <row r="93" spans="1:27" ht="15.75" customHeight="1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</row>
    <row r="94" spans="1:27" ht="15.75" customHeight="1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</row>
    <row r="95" spans="1:27" ht="15.75" customHeight="1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</row>
    <row r="96" spans="1:27" ht="15.75" customHeight="1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</row>
    <row r="97" spans="1:27" ht="15.75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</row>
    <row r="98" spans="1:27" ht="15.7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</row>
    <row r="99" spans="1:27" ht="15.7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</row>
    <row r="100" spans="1:27" ht="15.7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</row>
    <row r="101" spans="1:27" ht="15.75" customHeight="1"/>
    <row r="102" spans="1:27" ht="15.75" customHeight="1"/>
    <row r="103" spans="1:27" ht="15.75" customHeight="1"/>
    <row r="104" spans="1:27" ht="15.75" customHeight="1"/>
    <row r="105" spans="1:27" ht="15.75" customHeight="1"/>
    <row r="106" spans="1:27" ht="15.75" customHeight="1"/>
    <row r="107" spans="1:27" ht="15.75" customHeight="1"/>
    <row r="108" spans="1:27" ht="15.75" customHeight="1"/>
    <row r="109" spans="1:27" ht="15.75" customHeight="1"/>
    <row r="110" spans="1:27" ht="15.75" customHeight="1"/>
    <row r="111" spans="1:27" ht="15.75" customHeight="1"/>
    <row r="112" spans="1:2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L1"/>
  </mergeCells>
  <pageMargins left="0.7" right="0.7" top="0.78740157499999996" bottom="0.78740157499999996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A41" sqref="A41"/>
    </sheetView>
  </sheetViews>
  <sheetFormatPr baseColWidth="10" defaultColWidth="12.5703125" defaultRowHeight="15" customHeight="1" x14ac:dyDescent="0"/>
  <cols>
    <col min="1" max="1" width="22" customWidth="1"/>
    <col min="2" max="12" width="10.7109375" customWidth="1"/>
    <col min="13" max="13" width="21.42578125" customWidth="1"/>
    <col min="14" max="22" width="10.7109375" customWidth="1"/>
    <col min="23" max="26" width="14.42578125" customWidth="1"/>
  </cols>
  <sheetData>
    <row r="1" spans="1:22" ht="14">
      <c r="A1" s="124" t="s">
        <v>18</v>
      </c>
      <c r="B1" s="124" t="s">
        <v>16</v>
      </c>
      <c r="C1" s="124" t="s">
        <v>2</v>
      </c>
      <c r="D1" s="124" t="s">
        <v>2</v>
      </c>
      <c r="E1" s="124" t="s">
        <v>5</v>
      </c>
      <c r="F1" s="124" t="s">
        <v>5</v>
      </c>
      <c r="G1" s="124" t="s">
        <v>7</v>
      </c>
      <c r="H1" s="124" t="s">
        <v>7</v>
      </c>
      <c r="I1" s="124" t="s">
        <v>9</v>
      </c>
      <c r="J1" s="124" t="s">
        <v>19</v>
      </c>
      <c r="K1" s="124"/>
      <c r="L1" s="124"/>
      <c r="M1" s="124" t="s">
        <v>20</v>
      </c>
      <c r="N1" s="124" t="s">
        <v>16</v>
      </c>
      <c r="O1" s="124" t="s">
        <v>2</v>
      </c>
      <c r="P1" s="124" t="s">
        <v>2</v>
      </c>
      <c r="Q1" s="124" t="s">
        <v>5</v>
      </c>
      <c r="R1" s="124" t="s">
        <v>5</v>
      </c>
      <c r="S1" s="124" t="s">
        <v>7</v>
      </c>
      <c r="T1" s="124" t="s">
        <v>7</v>
      </c>
      <c r="U1" s="124" t="s">
        <v>9</v>
      </c>
      <c r="V1" s="124" t="s">
        <v>19</v>
      </c>
    </row>
    <row r="2" spans="1:22" ht="14">
      <c r="A2" s="124"/>
      <c r="B2" s="124" t="s">
        <v>26</v>
      </c>
      <c r="C2" s="124" t="s">
        <v>26</v>
      </c>
      <c r="D2" s="124" t="s">
        <v>27</v>
      </c>
      <c r="E2" s="124" t="s">
        <v>26</v>
      </c>
      <c r="F2" s="124" t="s">
        <v>27</v>
      </c>
      <c r="G2" s="124" t="s">
        <v>26</v>
      </c>
      <c r="H2" s="124" t="s">
        <v>27</v>
      </c>
      <c r="I2" s="124" t="s">
        <v>27</v>
      </c>
      <c r="J2" s="124" t="s">
        <v>27</v>
      </c>
      <c r="K2" s="124"/>
      <c r="L2" s="124"/>
      <c r="M2" s="124"/>
      <c r="N2" s="124" t="s">
        <v>26</v>
      </c>
      <c r="O2" s="124" t="s">
        <v>26</v>
      </c>
      <c r="P2" s="124" t="s">
        <v>27</v>
      </c>
      <c r="Q2" s="124" t="s">
        <v>26</v>
      </c>
      <c r="R2" s="124" t="s">
        <v>27</v>
      </c>
      <c r="S2" s="124" t="s">
        <v>26</v>
      </c>
      <c r="T2" s="124" t="s">
        <v>27</v>
      </c>
      <c r="U2" s="124" t="s">
        <v>27</v>
      </c>
      <c r="V2" s="124" t="s">
        <v>27</v>
      </c>
    </row>
    <row r="3" spans="1:22" ht="14">
      <c r="A3" s="124" t="s">
        <v>28</v>
      </c>
      <c r="B3" s="124">
        <v>99.573700726805782</v>
      </c>
      <c r="C3" s="124">
        <v>0.27689896546993048</v>
      </c>
      <c r="D3" s="124">
        <v>5.8148782748685399E-4</v>
      </c>
      <c r="E3" s="124">
        <v>0.14940030772430238</v>
      </c>
      <c r="F3" s="124">
        <v>3.1374064622103498E-4</v>
      </c>
      <c r="G3" s="124">
        <v>4.1147045300002149E-4</v>
      </c>
      <c r="H3" s="124">
        <v>8.6408795130004515E-7</v>
      </c>
      <c r="I3" s="124">
        <v>2.9140604112046953E-5</v>
      </c>
      <c r="J3" s="124">
        <v>2.8534501550907439E-5</v>
      </c>
      <c r="K3" s="124"/>
      <c r="L3" s="124"/>
      <c r="M3" s="124" t="s">
        <v>28</v>
      </c>
      <c r="N3" s="124">
        <v>99.573700726805782</v>
      </c>
      <c r="O3" s="124">
        <v>0.27689896546993048</v>
      </c>
      <c r="P3" s="124">
        <v>5.8148782748685399E-4</v>
      </c>
      <c r="Q3" s="124">
        <v>0.14940030772430238</v>
      </c>
      <c r="R3" s="124">
        <v>3.1374064622103498E-4</v>
      </c>
      <c r="S3" s="124">
        <v>4.1147045300002149E-4</v>
      </c>
      <c r="T3" s="124">
        <v>8.6408795130004515E-7</v>
      </c>
      <c r="U3" s="124">
        <v>2.9140604112046953E-5</v>
      </c>
      <c r="V3" s="124">
        <v>2.8534501550907439E-5</v>
      </c>
    </row>
    <row r="4" spans="1:22" ht="14">
      <c r="A4" s="241" t="s">
        <v>29</v>
      </c>
      <c r="B4" s="124">
        <v>96.104692554649361</v>
      </c>
      <c r="C4" s="124">
        <v>3.8712681014502648</v>
      </c>
      <c r="D4" s="124">
        <v>8.1296630130455565E-3</v>
      </c>
      <c r="E4" s="124">
        <v>2.4039343900361193E-2</v>
      </c>
      <c r="F4" s="124">
        <v>5.0482622190758505E-5</v>
      </c>
      <c r="G4" s="124">
        <v>1.4299024390586519E-4</v>
      </c>
      <c r="H4" s="124">
        <v>3.0027951220231691E-7</v>
      </c>
      <c r="I4" s="124">
        <v>2.423775113877083E-5</v>
      </c>
      <c r="J4" s="124">
        <v>4.1057380625792356E-6</v>
      </c>
      <c r="K4" s="124"/>
      <c r="L4" s="124"/>
      <c r="M4" s="124" t="s">
        <v>29</v>
      </c>
      <c r="N4" s="124">
        <v>96.166357770638072</v>
      </c>
      <c r="O4" s="124">
        <v>3.8124142225359781</v>
      </c>
      <c r="P4" s="124">
        <v>8.0060698673255545E-3</v>
      </c>
      <c r="Q4" s="124">
        <v>2.1228006825930915E-2</v>
      </c>
      <c r="R4" s="124">
        <v>4.4578814334454916E-5</v>
      </c>
      <c r="S4" s="124">
        <v>1.649851684000646E-4</v>
      </c>
      <c r="T4" s="124">
        <v>3.4646885364013565E-7</v>
      </c>
      <c r="U4" s="124">
        <v>2.7925725596017137E-5</v>
      </c>
      <c r="V4" s="124">
        <v>3.6356374055931188E-6</v>
      </c>
    </row>
    <row r="5" spans="1:22" ht="14">
      <c r="A5" s="241" t="s">
        <v>29</v>
      </c>
      <c r="B5" s="124">
        <v>96.341347840060152</v>
      </c>
      <c r="C5" s="124">
        <v>3.6386066454912478</v>
      </c>
      <c r="D5" s="124">
        <v>7.6410739555316199E-3</v>
      </c>
      <c r="E5" s="124">
        <v>2.0045514448593423E-2</v>
      </c>
      <c r="F5" s="124">
        <v>4.2095580342046191E-5</v>
      </c>
      <c r="G5" s="124">
        <v>1.2341439404029553E-4</v>
      </c>
      <c r="H5" s="124">
        <v>2.5917022748462062E-7</v>
      </c>
      <c r="I5" s="124">
        <v>2.776592151819052E-5</v>
      </c>
      <c r="J5" s="124">
        <v>2.6646690109309922E-6</v>
      </c>
      <c r="K5" s="124"/>
      <c r="L5" s="124"/>
      <c r="M5" s="124" t="s">
        <v>30</v>
      </c>
      <c r="N5" s="124">
        <v>96.477961802812032</v>
      </c>
      <c r="O5" s="124">
        <v>3.4922330964873503</v>
      </c>
      <c r="P5" s="124">
        <v>7.3336895026234359E-3</v>
      </c>
      <c r="Q5" s="124">
        <v>2.9805100700620479E-2</v>
      </c>
      <c r="R5" s="124">
        <v>6.2590711471302996E-5</v>
      </c>
      <c r="S5" s="124">
        <v>1.8294380869475808E-4</v>
      </c>
      <c r="T5" s="124">
        <v>3.8418199825899201E-7</v>
      </c>
      <c r="U5" s="124">
        <v>1.4351146838047633E-5</v>
      </c>
      <c r="V5" s="124">
        <v>4.9315392171383014E-6</v>
      </c>
    </row>
    <row r="6" spans="1:22" ht="14">
      <c r="A6" s="241" t="s">
        <v>29</v>
      </c>
      <c r="B6" s="124">
        <v>96.053032917204746</v>
      </c>
      <c r="C6" s="124">
        <v>3.9273679206664212</v>
      </c>
      <c r="D6" s="124">
        <v>8.2474726333994844E-3</v>
      </c>
      <c r="E6" s="124">
        <v>1.9599162128838128E-2</v>
      </c>
      <c r="F6" s="124">
        <v>4.1158240470560065E-5</v>
      </c>
      <c r="G6" s="124">
        <v>2.285508672540331E-4</v>
      </c>
      <c r="H6" s="124">
        <v>4.7995682123346952E-7</v>
      </c>
      <c r="I6" s="124">
        <v>3.1773504131090059E-5</v>
      </c>
      <c r="J6" s="124">
        <v>4.1365051432691285E-6</v>
      </c>
      <c r="K6" s="124"/>
      <c r="L6" s="124"/>
      <c r="M6" s="124" t="s">
        <v>110</v>
      </c>
      <c r="N6" s="124">
        <v>97.583642348049807</v>
      </c>
      <c r="O6" s="124">
        <v>2.394580811970497</v>
      </c>
      <c r="P6" s="124">
        <v>5.0286197051380432E-3</v>
      </c>
      <c r="Q6" s="124">
        <v>2.177683997968986E-2</v>
      </c>
      <c r="R6" s="124">
        <v>4.5731363957348708E-5</v>
      </c>
      <c r="S6" s="124">
        <v>1.534196545374497E-4</v>
      </c>
      <c r="T6" s="124">
        <v>3.2218127452864439E-7</v>
      </c>
      <c r="U6" s="124">
        <v>2.0671291282842196E-5</v>
      </c>
      <c r="V6" s="124">
        <v>3.8426507377180535E-6</v>
      </c>
    </row>
    <row r="7" spans="1:22" ht="14">
      <c r="A7" s="241" t="s">
        <v>109</v>
      </c>
      <c r="B7" s="124">
        <v>96.630531085265829</v>
      </c>
      <c r="C7" s="124">
        <v>3.3390266621956473</v>
      </c>
      <c r="D7" s="124">
        <v>7.0119559906108592E-3</v>
      </c>
      <c r="E7" s="124">
        <v>3.044225253853091E-2</v>
      </c>
      <c r="F7" s="124">
        <v>6.39287303309149E-5</v>
      </c>
      <c r="G7" s="124">
        <v>1.2800843880265812E-4</v>
      </c>
      <c r="H7" s="124">
        <v>2.6881772148558206E-7</v>
      </c>
      <c r="I7" s="124">
        <v>2.1287426366260729E-5</v>
      </c>
      <c r="J7" s="124">
        <v>6.326218993569951E-6</v>
      </c>
      <c r="K7" s="124"/>
      <c r="L7" s="124"/>
      <c r="M7" s="124" t="s">
        <v>111</v>
      </c>
      <c r="N7" s="124">
        <v>96.961580511336592</v>
      </c>
      <c r="O7" s="124">
        <v>3.0186523846875484</v>
      </c>
      <c r="P7" s="124">
        <v>6.3391700078438513E-3</v>
      </c>
      <c r="Q7" s="124">
        <v>1.9767103975851848E-2</v>
      </c>
      <c r="R7" s="124">
        <v>4.1510918349288874E-5</v>
      </c>
      <c r="S7" s="124">
        <v>1.3684494789645586E-4</v>
      </c>
      <c r="T7" s="124">
        <v>2.8737439058255729E-7</v>
      </c>
      <c r="U7" s="124">
        <v>3.4524501677797256E-5</v>
      </c>
      <c r="V7" s="124">
        <v>3.1741453462343873E-6</v>
      </c>
    </row>
    <row r="8" spans="1:22" ht="14">
      <c r="A8" s="241" t="s">
        <v>30</v>
      </c>
      <c r="B8" s="124">
        <v>97.390966671664685</v>
      </c>
      <c r="C8" s="124">
        <v>2.5797633751612565</v>
      </c>
      <c r="D8" s="124">
        <v>5.417503087838638E-3</v>
      </c>
      <c r="E8" s="124">
        <v>2.9269953174058682E-2</v>
      </c>
      <c r="F8" s="124">
        <v>6.1466901665523235E-5</v>
      </c>
      <c r="G8" s="124">
        <v>2.7938688911271055E-4</v>
      </c>
      <c r="H8" s="124">
        <v>5.8671246713669211E-7</v>
      </c>
      <c r="I8" s="124">
        <v>1.4597957559384196E-5</v>
      </c>
      <c r="J8" s="124">
        <v>3.5076054883781901E-6</v>
      </c>
      <c r="K8" s="124"/>
      <c r="L8" s="124"/>
      <c r="M8" s="124" t="s">
        <v>112</v>
      </c>
      <c r="N8" s="124">
        <v>98.009615591535351</v>
      </c>
      <c r="O8" s="124">
        <v>1.9703262059246331</v>
      </c>
      <c r="P8" s="124">
        <v>4.1376850324417293E-3</v>
      </c>
      <c r="Q8" s="124">
        <v>2.005820254000984E-2</v>
      </c>
      <c r="R8" s="124">
        <v>4.2122225334020656E-5</v>
      </c>
      <c r="S8" s="124">
        <v>1.219843066571224E-4</v>
      </c>
      <c r="T8" s="124">
        <v>2.561670439799571E-7</v>
      </c>
      <c r="U8" s="124">
        <v>2.723960522403543E-5</v>
      </c>
      <c r="V8" s="124">
        <v>4.8468473643581571E-6</v>
      </c>
    </row>
    <row r="9" spans="1:22" ht="14">
      <c r="A9" s="241" t="s">
        <v>30</v>
      </c>
      <c r="B9" s="124">
        <v>95.412387651505583</v>
      </c>
      <c r="C9" s="124">
        <v>4.5579092521051479</v>
      </c>
      <c r="D9" s="124">
        <v>9.5716094294208097E-3</v>
      </c>
      <c r="E9" s="124">
        <v>2.9703096389271846E-2</v>
      </c>
      <c r="F9" s="124">
        <v>6.2376502417470868E-5</v>
      </c>
      <c r="G9" s="124">
        <v>1.4143609816890567E-4</v>
      </c>
      <c r="H9" s="124">
        <v>2.9701580615470186E-7</v>
      </c>
      <c r="I9" s="124">
        <v>7.1680565884979797E-6</v>
      </c>
      <c r="J9" s="124">
        <v>4.9607931694667627E-6</v>
      </c>
      <c r="K9" s="124"/>
      <c r="L9" s="124"/>
      <c r="M9" s="124" t="s">
        <v>31</v>
      </c>
      <c r="N9" s="124">
        <v>97.236298915647282</v>
      </c>
      <c r="O9" s="124">
        <v>2.7374782565269569</v>
      </c>
      <c r="P9" s="124">
        <v>5.7487043387066091E-3</v>
      </c>
      <c r="Q9" s="124">
        <v>2.6222827825779244E-2</v>
      </c>
      <c r="R9" s="124">
        <v>5.5067938434136402E-5</v>
      </c>
      <c r="S9" s="124">
        <v>1.607916531094521E-4</v>
      </c>
      <c r="T9" s="124">
        <v>3.3766247152984932E-7</v>
      </c>
      <c r="U9" s="124">
        <v>2.6619170742569765E-5</v>
      </c>
      <c r="V9" s="124">
        <v>7.0133770233182369E-6</v>
      </c>
    </row>
    <row r="10" spans="1:22" ht="15" customHeight="1">
      <c r="A10" s="242" t="s">
        <v>110</v>
      </c>
      <c r="B10" s="124">
        <v>97.947488131212722</v>
      </c>
      <c r="C10" s="124">
        <v>2.0331502204229022</v>
      </c>
      <c r="D10" s="124">
        <v>4.2696154628880951E-3</v>
      </c>
      <c r="E10" s="124">
        <v>1.9361648364367566E-2</v>
      </c>
      <c r="F10" s="124">
        <v>4.0659461565171891E-5</v>
      </c>
      <c r="G10" s="124">
        <v>1.6094735506271433E-4</v>
      </c>
      <c r="H10" s="124">
        <v>3.379894456317001E-7</v>
      </c>
      <c r="I10" s="124">
        <v>2.7360984586663219E-5</v>
      </c>
      <c r="J10" s="124">
        <v>2.382273446040437E-6</v>
      </c>
      <c r="K10" s="124"/>
      <c r="L10" s="124"/>
      <c r="M10" s="124" t="s">
        <v>32</v>
      </c>
      <c r="N10" s="124">
        <v>97.183043648077287</v>
      </c>
      <c r="O10" s="124">
        <v>2.7947149419772153</v>
      </c>
      <c r="P10" s="124">
        <v>5.8689013781521512E-3</v>
      </c>
      <c r="Q10" s="124">
        <v>2.2241409945483005E-2</v>
      </c>
      <c r="R10" s="124">
        <v>4.6706960885514314E-5</v>
      </c>
      <c r="S10" s="124">
        <v>1.7066617057586654E-4</v>
      </c>
      <c r="T10" s="124">
        <v>3.5839895820931969E-7</v>
      </c>
      <c r="U10" s="124">
        <v>3.0013836260777066E-5</v>
      </c>
      <c r="V10" s="124">
        <v>3.1686998927484284E-6</v>
      </c>
    </row>
    <row r="11" spans="1:22" ht="15.75" customHeight="1">
      <c r="A11" s="242" t="s">
        <v>110</v>
      </c>
      <c r="B11" s="124">
        <v>97.557045888169156</v>
      </c>
      <c r="C11" s="124">
        <v>2.4209697009608555</v>
      </c>
      <c r="D11" s="124">
        <v>5.0840363720177969E-3</v>
      </c>
      <c r="E11" s="124">
        <v>2.1984410869981201E-2</v>
      </c>
      <c r="F11" s="124">
        <v>4.616726282696052E-5</v>
      </c>
      <c r="G11" s="124">
        <v>1.7258532117313982E-4</v>
      </c>
      <c r="H11" s="124">
        <v>3.6242917446359359E-7</v>
      </c>
      <c r="I11" s="124">
        <v>1.8920763403998492E-5</v>
      </c>
      <c r="J11" s="124">
        <v>4.7622604173961895E-6</v>
      </c>
      <c r="K11" s="124"/>
      <c r="L11" s="124"/>
      <c r="M11" s="124" t="s">
        <v>113</v>
      </c>
      <c r="N11" s="124">
        <v>97.638996456624383</v>
      </c>
      <c r="O11" s="124">
        <v>2.3346409682414149</v>
      </c>
      <c r="P11" s="124">
        <v>4.9027460333069713E-3</v>
      </c>
      <c r="Q11" s="124">
        <v>2.6362575134201777E-2</v>
      </c>
      <c r="R11" s="124">
        <v>5.5361407781823724E-5</v>
      </c>
      <c r="S11" s="124">
        <v>1.4869475330317491E-4</v>
      </c>
      <c r="T11" s="124">
        <v>3.1225898193666732E-7</v>
      </c>
      <c r="U11" s="124">
        <v>2.6187880656799026E-5</v>
      </c>
      <c r="V11" s="124">
        <v>3.9571916303374913E-6</v>
      </c>
    </row>
    <row r="12" spans="1:22" ht="13.5" customHeight="1">
      <c r="A12" s="242" t="s">
        <v>110</v>
      </c>
      <c r="B12" s="124">
        <v>97.246393024767542</v>
      </c>
      <c r="C12" s="124">
        <v>2.7296225145277329</v>
      </c>
      <c r="D12" s="124">
        <v>5.7322072805082386E-3</v>
      </c>
      <c r="E12" s="124">
        <v>2.3984460704720816E-2</v>
      </c>
      <c r="F12" s="124">
        <v>5.0367367479913707E-5</v>
      </c>
      <c r="G12" s="124">
        <v>1.2672628737649496E-4</v>
      </c>
      <c r="H12" s="124">
        <v>2.6612520349063942E-7</v>
      </c>
      <c r="I12" s="124">
        <v>1.5732125857864872E-5</v>
      </c>
      <c r="J12" s="124">
        <v>4.3834183497175349E-6</v>
      </c>
      <c r="K12" s="124"/>
      <c r="L12" s="124"/>
      <c r="M12" s="124" t="s">
        <v>114</v>
      </c>
      <c r="N12" s="124">
        <v>95.935512408762861</v>
      </c>
      <c r="O12" s="124">
        <v>4.0416248271587518</v>
      </c>
      <c r="P12" s="124">
        <v>8.4874121370333774E-3</v>
      </c>
      <c r="Q12" s="124">
        <v>2.286276407839297E-2</v>
      </c>
      <c r="R12" s="124">
        <v>4.8011804564625228E-5</v>
      </c>
      <c r="S12" s="124">
        <v>1.3911504056496421E-4</v>
      </c>
      <c r="T12" s="124">
        <v>2.921415851864248E-7</v>
      </c>
      <c r="U12" s="124">
        <v>1.9446361526183823E-5</v>
      </c>
      <c r="V12" s="124">
        <v>6.0490467181118002E-6</v>
      </c>
    </row>
    <row r="13" spans="1:22" ht="13.5" customHeight="1">
      <c r="A13" s="242" t="s">
        <v>111</v>
      </c>
      <c r="B13" s="124">
        <v>96.813879090546507</v>
      </c>
      <c r="C13" s="124">
        <v>3.1647834141679212</v>
      </c>
      <c r="D13" s="124">
        <v>6.6460451697526336E-3</v>
      </c>
      <c r="E13" s="124">
        <v>2.1337495285562707E-2</v>
      </c>
      <c r="F13" s="124">
        <v>4.4808740099681683E-5</v>
      </c>
      <c r="G13" s="124">
        <v>1.0987717426966764E-4</v>
      </c>
      <c r="H13" s="124">
        <v>2.3074206596630206E-7</v>
      </c>
      <c r="I13" s="124">
        <v>5.5071238526618272E-5</v>
      </c>
      <c r="J13" s="124">
        <v>5.0687860376215457E-6</v>
      </c>
      <c r="K13" s="124"/>
      <c r="L13" s="124"/>
      <c r="M13" s="124" t="s">
        <v>33</v>
      </c>
      <c r="N13" s="124">
        <v>95.866760223960753</v>
      </c>
      <c r="O13" s="124">
        <v>4.1000263826382657</v>
      </c>
      <c r="P13" s="124">
        <v>8.6100554035403575E-3</v>
      </c>
      <c r="Q13" s="124">
        <v>3.3213393400987494E-2</v>
      </c>
      <c r="R13" s="124">
        <v>6.9748126142073739E-5</v>
      </c>
      <c r="S13" s="124">
        <v>2.0643223115216871E-4</v>
      </c>
      <c r="T13" s="124">
        <v>4.3350768541955431E-7</v>
      </c>
      <c r="U13" s="124">
        <v>2.473430779667482E-5</v>
      </c>
      <c r="V13" s="124">
        <v>5.7449662971484689E-6</v>
      </c>
    </row>
    <row r="14" spans="1:22" ht="14.25" customHeight="1">
      <c r="A14" s="242" t="s">
        <v>111</v>
      </c>
      <c r="B14" s="124">
        <v>96.878079406364037</v>
      </c>
      <c r="C14" s="124">
        <v>3.0963371913239714</v>
      </c>
      <c r="D14" s="124">
        <v>6.5023081017803403E-3</v>
      </c>
      <c r="E14" s="124">
        <v>2.5583402311992215E-2</v>
      </c>
      <c r="F14" s="124">
        <v>5.3725144855183646E-5</v>
      </c>
      <c r="G14" s="124">
        <v>1.6802422898391737E-4</v>
      </c>
      <c r="H14" s="124">
        <v>3.5285088086622645E-7</v>
      </c>
      <c r="I14" s="124">
        <v>3.6329653101034039E-5</v>
      </c>
      <c r="J14" s="124">
        <v>2.0957878876942554E-6</v>
      </c>
      <c r="K14" s="124"/>
      <c r="L14" s="124"/>
      <c r="M14" s="124" t="s">
        <v>34</v>
      </c>
      <c r="N14" s="124">
        <v>95.277262322190651</v>
      </c>
      <c r="O14" s="124">
        <v>4.6993010031185056</v>
      </c>
      <c r="P14" s="124">
        <v>9.8685321065488611E-3</v>
      </c>
      <c r="Q14" s="124">
        <v>2.3436674690850007E-2</v>
      </c>
      <c r="R14" s="124">
        <v>4.9217016850785016E-5</v>
      </c>
      <c r="S14" s="124">
        <v>1.5311572306682048E-4</v>
      </c>
      <c r="T14" s="124">
        <v>3.2154301844032293E-7</v>
      </c>
      <c r="U14" s="124">
        <v>2.5153122162045255E-5</v>
      </c>
      <c r="V14" s="124">
        <v>3.6612951382975618E-6</v>
      </c>
    </row>
    <row r="15" spans="1:22" ht="12.75" customHeight="1">
      <c r="A15" s="242" t="s">
        <v>111</v>
      </c>
      <c r="B15" s="124">
        <v>97.192783037099247</v>
      </c>
      <c r="C15" s="124">
        <v>2.794836548570752</v>
      </c>
      <c r="D15" s="124">
        <v>5.8691567519985792E-3</v>
      </c>
      <c r="E15" s="124">
        <v>1.2380414330000625E-2</v>
      </c>
      <c r="F15" s="124">
        <v>2.5998870093001311E-5</v>
      </c>
      <c r="G15" s="124">
        <v>1.3263344043578257E-4</v>
      </c>
      <c r="H15" s="124">
        <v>2.7853022491514341E-7</v>
      </c>
      <c r="I15" s="124">
        <v>1.2172613405739454E-5</v>
      </c>
      <c r="J15" s="124">
        <v>2.3578621133873609E-6</v>
      </c>
      <c r="K15" s="124"/>
      <c r="L15" s="124"/>
      <c r="M15" s="124" t="s">
        <v>115</v>
      </c>
      <c r="N15" s="124">
        <v>95.610865186667581</v>
      </c>
      <c r="O15" s="124">
        <v>4.3632505225398317</v>
      </c>
      <c r="P15" s="124">
        <v>9.1628260973336453E-3</v>
      </c>
      <c r="Q15" s="124">
        <v>2.5884290792585803E-2</v>
      </c>
      <c r="R15" s="124">
        <v>5.435701066443019E-5</v>
      </c>
      <c r="S15" s="124">
        <v>1.5299458956058009E-4</v>
      </c>
      <c r="T15" s="124">
        <v>3.2128863807721819E-7</v>
      </c>
      <c r="U15" s="124">
        <v>2.366463813735482E-5</v>
      </c>
      <c r="V15" s="124">
        <v>6.4702494983196585E-6</v>
      </c>
    </row>
    <row r="16" spans="1:22" ht="13.5" customHeight="1">
      <c r="A16" s="240" t="s">
        <v>112</v>
      </c>
      <c r="B16" s="124">
        <v>97.034741236699304</v>
      </c>
      <c r="C16" s="124">
        <v>2.9396310726597439</v>
      </c>
      <c r="D16" s="124">
        <v>6.1732252525854613E-3</v>
      </c>
      <c r="E16" s="124">
        <v>2.5627690640953684E-2</v>
      </c>
      <c r="F16" s="124">
        <v>5.3818150346002736E-5</v>
      </c>
      <c r="G16" s="124">
        <v>1.6148742948470635E-4</v>
      </c>
      <c r="H16" s="124">
        <v>3.3912360191788336E-7</v>
      </c>
      <c r="I16" s="124">
        <v>4.0879410440596061E-5</v>
      </c>
      <c r="J16" s="124">
        <v>6.7612672497058292E-6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22" ht="15" customHeight="1">
      <c r="A17" s="240" t="s">
        <v>112</v>
      </c>
      <c r="B17" s="124">
        <v>97.734175864835947</v>
      </c>
      <c r="C17" s="124">
        <v>2.2430005857950563</v>
      </c>
      <c r="D17" s="124">
        <v>4.7103012301696187E-3</v>
      </c>
      <c r="E17" s="124">
        <v>2.2823549368985778E-2</v>
      </c>
      <c r="F17" s="124">
        <v>4.7929453674870127E-5</v>
      </c>
      <c r="G17" s="124">
        <v>1.2516464559487076E-4</v>
      </c>
      <c r="H17" s="124">
        <v>2.6284575574922855E-7</v>
      </c>
      <c r="I17" s="124">
        <v>3.5366301688788961E-5</v>
      </c>
      <c r="J17" s="124">
        <v>5.8263832874488485E-6</v>
      </c>
      <c r="K17" s="124"/>
      <c r="L17" s="124"/>
      <c r="M17" s="124" t="s">
        <v>35</v>
      </c>
      <c r="N17" s="124" t="s">
        <v>16</v>
      </c>
      <c r="O17" s="124" t="s">
        <v>2</v>
      </c>
      <c r="P17" s="124" t="s">
        <v>2</v>
      </c>
      <c r="Q17" s="124" t="s">
        <v>5</v>
      </c>
      <c r="R17" s="124" t="s">
        <v>5</v>
      </c>
      <c r="S17" s="124" t="s">
        <v>7</v>
      </c>
      <c r="T17" s="124" t="s">
        <v>7</v>
      </c>
      <c r="U17" s="124" t="s">
        <v>9</v>
      </c>
      <c r="V17" s="124" t="s">
        <v>19</v>
      </c>
    </row>
    <row r="18" spans="1:22" ht="14.25" customHeight="1">
      <c r="A18" s="240" t="s">
        <v>112</v>
      </c>
      <c r="B18" s="124">
        <v>99.259929673070815</v>
      </c>
      <c r="C18" s="124">
        <v>0.72834695931909943</v>
      </c>
      <c r="D18" s="124">
        <v>1.5295286145701088E-3</v>
      </c>
      <c r="E18" s="124">
        <v>1.1723367610090057E-2</v>
      </c>
      <c r="F18" s="124">
        <v>2.4619071981189116E-5</v>
      </c>
      <c r="G18" s="124">
        <v>7.9300844891790133E-5</v>
      </c>
      <c r="H18" s="124">
        <v>1.6653177427275927E-7</v>
      </c>
      <c r="I18" s="124">
        <v>5.4731035427212821E-6</v>
      </c>
      <c r="J18" s="124">
        <v>1.9528915559197934E-6</v>
      </c>
      <c r="K18" s="124"/>
      <c r="L18" s="124"/>
      <c r="M18" s="124"/>
      <c r="N18" s="124" t="s">
        <v>26</v>
      </c>
      <c r="O18" s="124" t="s">
        <v>26</v>
      </c>
      <c r="P18" s="124" t="s">
        <v>27</v>
      </c>
      <c r="Q18" s="124" t="s">
        <v>26</v>
      </c>
      <c r="R18" s="124" t="s">
        <v>27</v>
      </c>
      <c r="S18" s="124" t="s">
        <v>26</v>
      </c>
      <c r="T18" s="124" t="s">
        <v>27</v>
      </c>
      <c r="U18" s="124" t="s">
        <v>27</v>
      </c>
      <c r="V18" s="124" t="s">
        <v>27</v>
      </c>
    </row>
    <row r="19" spans="1:22" ht="14">
      <c r="A19" s="241" t="s">
        <v>31</v>
      </c>
      <c r="B19" s="124">
        <v>97.117310493582224</v>
      </c>
      <c r="C19" s="124">
        <v>2.8525452656799932</v>
      </c>
      <c r="D19" s="124">
        <v>5.9903450579279855E-3</v>
      </c>
      <c r="E19" s="124">
        <v>3.0144240737789162E-2</v>
      </c>
      <c r="F19" s="124">
        <v>6.3302905549357245E-5</v>
      </c>
      <c r="G19" s="124">
        <v>1.6894632143774101E-4</v>
      </c>
      <c r="H19" s="124">
        <v>3.5478727501925611E-7</v>
      </c>
      <c r="I19" s="124">
        <v>2.4181121717133068E-5</v>
      </c>
      <c r="J19" s="124">
        <v>6.6782487125778268E-6</v>
      </c>
      <c r="K19" s="124"/>
      <c r="L19" s="124"/>
      <c r="M19" s="124" t="s">
        <v>28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</row>
    <row r="20" spans="1:22" ht="14">
      <c r="A20" s="241" t="s">
        <v>31</v>
      </c>
      <c r="B20" s="124">
        <v>97.270216947521959</v>
      </c>
      <c r="C20" s="124">
        <v>2.7012305552505627</v>
      </c>
      <c r="D20" s="124">
        <v>5.672584166026182E-3</v>
      </c>
      <c r="E20" s="124">
        <v>2.8552497227490165E-2</v>
      </c>
      <c r="F20" s="124">
        <v>5.9960244177729341E-5</v>
      </c>
      <c r="G20" s="124">
        <v>1.7812541607825232E-4</v>
      </c>
      <c r="H20" s="124">
        <v>3.7406337376432982E-7</v>
      </c>
      <c r="I20" s="124">
        <v>5.416462993805758E-5</v>
      </c>
      <c r="J20" s="124">
        <v>8.8395405193852534E-6</v>
      </c>
      <c r="K20" s="124"/>
      <c r="L20" s="124"/>
      <c r="M20" s="124" t="s">
        <v>29</v>
      </c>
      <c r="N20" s="124">
        <v>0.12552110800573688</v>
      </c>
      <c r="O20" s="124">
        <v>0.12501627309445545</v>
      </c>
      <c r="P20" s="124">
        <v>2.6253417349835672E-4</v>
      </c>
      <c r="Q20" s="124">
        <v>1.9962497685889879E-3</v>
      </c>
      <c r="R20" s="124">
        <v>4.1921245140368746E-6</v>
      </c>
      <c r="S20" s="124">
        <v>4.5652689059790627E-5</v>
      </c>
      <c r="T20" s="124">
        <v>9.5870647025560306E-8</v>
      </c>
      <c r="U20" s="124">
        <v>3.0785327996498122E-6</v>
      </c>
      <c r="V20" s="124">
        <v>6.8669322160049755E-7</v>
      </c>
    </row>
    <row r="21" spans="1:22" ht="15.75" customHeight="1">
      <c r="A21" s="241" t="s">
        <v>31</v>
      </c>
      <c r="B21" s="124">
        <v>97.321369305837635</v>
      </c>
      <c r="C21" s="124">
        <v>2.6586589486503143</v>
      </c>
      <c r="D21" s="124">
        <v>5.5831837921656597E-3</v>
      </c>
      <c r="E21" s="124">
        <v>1.9971745512058402E-2</v>
      </c>
      <c r="F21" s="124">
        <v>4.1940665575322641E-5</v>
      </c>
      <c r="G21" s="124">
        <v>1.3530322181236291E-4</v>
      </c>
      <c r="H21" s="124">
        <v>2.8413676580596209E-7</v>
      </c>
      <c r="I21" s="124">
        <v>1.5117605725186448E-6</v>
      </c>
      <c r="J21" s="124">
        <v>5.5223418379916279E-6</v>
      </c>
      <c r="K21" s="124"/>
      <c r="L21" s="124"/>
      <c r="M21" s="124" t="s">
        <v>30</v>
      </c>
      <c r="N21" s="124">
        <v>0.81492403499335997</v>
      </c>
      <c r="O21" s="124">
        <v>0.81480854039412742</v>
      </c>
      <c r="P21" s="124">
        <v>1.7110979348276677E-3</v>
      </c>
      <c r="Q21" s="124">
        <v>4.8399387712089864E-4</v>
      </c>
      <c r="R21" s="124">
        <v>1.0163871419538819E-6</v>
      </c>
      <c r="S21" s="124">
        <v>6.841552615886603E-5</v>
      </c>
      <c r="T21" s="124">
        <v>1.4367260493361868E-7</v>
      </c>
      <c r="U21" s="124">
        <v>5.766849941948379E-6</v>
      </c>
      <c r="V21" s="124">
        <v>1.1508800598404314E-6</v>
      </c>
    </row>
    <row r="22" spans="1:22" ht="15.75" customHeight="1">
      <c r="A22" s="241" t="s">
        <v>32</v>
      </c>
      <c r="B22" s="124">
        <v>97.00049260661649</v>
      </c>
      <c r="C22" s="124">
        <v>2.9743995537118777</v>
      </c>
      <c r="D22" s="124">
        <v>6.2462390627949435E-3</v>
      </c>
      <c r="E22" s="124">
        <v>2.5107839671637579E-2</v>
      </c>
      <c r="F22" s="124">
        <v>5.2726463310438913E-5</v>
      </c>
      <c r="G22" s="124">
        <v>2.028301614668305E-4</v>
      </c>
      <c r="H22" s="124">
        <v>4.2594333908034404E-7</v>
      </c>
      <c r="I22" s="124">
        <v>1.8542508623672771E-5</v>
      </c>
      <c r="J22" s="124">
        <v>3.7649267555697371E-6</v>
      </c>
      <c r="K22" s="124"/>
      <c r="L22" s="124"/>
      <c r="M22" s="124" t="s">
        <v>110</v>
      </c>
      <c r="N22" s="124">
        <v>0.28683806793959776</v>
      </c>
      <c r="O22" s="124">
        <v>0.28494525112790925</v>
      </c>
      <c r="P22" s="124">
        <v>5.9838502736860814E-4</v>
      </c>
      <c r="Q22" s="124">
        <v>1.8929540828033532E-3</v>
      </c>
      <c r="R22" s="124">
        <v>3.9752035738870381E-6</v>
      </c>
      <c r="S22" s="124">
        <v>1.9463854561537148E-5</v>
      </c>
      <c r="T22" s="124">
        <v>4.0874094579228006E-8</v>
      </c>
      <c r="U22" s="124">
        <v>4.9061763607752049E-6</v>
      </c>
      <c r="V22" s="124">
        <v>1.0441604932820427E-6</v>
      </c>
    </row>
    <row r="23" spans="1:22" ht="15.75" customHeight="1">
      <c r="A23" s="241" t="s">
        <v>32</v>
      </c>
      <c r="B23" s="124">
        <v>97.000481272122116</v>
      </c>
      <c r="C23" s="124">
        <v>2.9735037052242537</v>
      </c>
      <c r="D23" s="124">
        <v>6.2443577809709319E-3</v>
      </c>
      <c r="E23" s="124">
        <v>2.6015022653628189E-2</v>
      </c>
      <c r="F23" s="124">
        <v>5.4631547572619191E-5</v>
      </c>
      <c r="G23" s="124">
        <v>1.4329236185043741E-4</v>
      </c>
      <c r="H23" s="124">
        <v>3.0091395988591851E-7</v>
      </c>
      <c r="I23" s="124">
        <v>6.0977603433439016E-5</v>
      </c>
      <c r="J23" s="124">
        <v>3.1556964122984345E-6</v>
      </c>
      <c r="K23" s="124"/>
      <c r="L23" s="124"/>
      <c r="M23" s="124" t="s">
        <v>111</v>
      </c>
      <c r="N23" s="124">
        <v>0.16557249384492012</v>
      </c>
      <c r="O23" s="124">
        <v>0.16070960918770297</v>
      </c>
      <c r="P23" s="124">
        <v>3.3749017929417599E-4</v>
      </c>
      <c r="Q23" s="124">
        <v>5.5032911100156004E-3</v>
      </c>
      <c r="R23" s="124">
        <v>1.1556911331032762E-5</v>
      </c>
      <c r="S23" s="124">
        <v>2.3924500542386361E-5</v>
      </c>
      <c r="T23" s="124">
        <v>5.0241451139011343E-8</v>
      </c>
      <c r="U23" s="124">
        <v>1.7559744456398639E-5</v>
      </c>
      <c r="V23" s="124">
        <v>1.3439787292558285E-6</v>
      </c>
    </row>
    <row r="24" spans="1:22" ht="15.75" customHeight="1">
      <c r="A24" s="241" t="s">
        <v>32</v>
      </c>
      <c r="B24" s="124">
        <v>97.548157065493299</v>
      </c>
      <c r="C24" s="124">
        <v>2.436241566995514</v>
      </c>
      <c r="D24" s="124">
        <v>5.1161072906905792E-3</v>
      </c>
      <c r="E24" s="124">
        <v>1.5601367511183253E-2</v>
      </c>
      <c r="F24" s="124">
        <v>3.2762871773484831E-5</v>
      </c>
      <c r="G24" s="124">
        <v>1.6587598841033167E-4</v>
      </c>
      <c r="H24" s="124">
        <v>3.4833957566169648E-7</v>
      </c>
      <c r="I24" s="124">
        <v>1.0521396725219413E-5</v>
      </c>
      <c r="J24" s="124">
        <v>2.5854765103771132E-6</v>
      </c>
      <c r="K24" s="124"/>
      <c r="L24" s="124"/>
      <c r="M24" s="124" t="s">
        <v>112</v>
      </c>
      <c r="N24" s="124">
        <v>0.92907343686189325</v>
      </c>
      <c r="O24" s="124">
        <v>0.92311351615297721</v>
      </c>
      <c r="P24" s="124">
        <v>1.9385383839212521E-3</v>
      </c>
      <c r="Q24" s="124">
        <v>6.0037714285853527E-3</v>
      </c>
      <c r="R24" s="124">
        <v>1.2607920000029231E-5</v>
      </c>
      <c r="S24" s="124">
        <v>3.3627811789066919E-5</v>
      </c>
      <c r="T24" s="124">
        <v>7.0618404757040541E-8</v>
      </c>
      <c r="U24" s="124">
        <v>1.5554935735628567E-5</v>
      </c>
      <c r="V24" s="124">
        <v>2.0816239128169358E-6</v>
      </c>
    </row>
    <row r="25" spans="1:22" ht="15.75" customHeight="1">
      <c r="A25" s="241" t="s">
        <v>113</v>
      </c>
      <c r="B25" s="124">
        <v>97.552813870605178</v>
      </c>
      <c r="C25" s="124">
        <v>2.4213574949215158</v>
      </c>
      <c r="D25" s="124">
        <v>5.0848507393351835E-3</v>
      </c>
      <c r="E25" s="124">
        <v>2.5828634473305686E-2</v>
      </c>
      <c r="F25" s="124">
        <v>5.4240132393941942E-5</v>
      </c>
      <c r="G25" s="124">
        <v>1.2019942719052215E-4</v>
      </c>
      <c r="H25" s="124">
        <v>2.5241879710009649E-7</v>
      </c>
      <c r="I25" s="124">
        <v>4.473985516717095E-5</v>
      </c>
      <c r="J25" s="124">
        <v>4.7100535140714292E-6</v>
      </c>
      <c r="K25" s="124"/>
      <c r="L25" s="124"/>
      <c r="M25" s="124" t="s">
        <v>31</v>
      </c>
      <c r="N25" s="124">
        <v>8.6690346942288332E-2</v>
      </c>
      <c r="O25" s="124">
        <v>8.3200151717411033E-2</v>
      </c>
      <c r="P25" s="124">
        <v>1.7472031860656307E-4</v>
      </c>
      <c r="Q25" s="124">
        <v>4.4676939928282077E-3</v>
      </c>
      <c r="R25" s="124">
        <v>9.3821573849392377E-6</v>
      </c>
      <c r="S25" s="124">
        <v>1.8408495178308152E-5</v>
      </c>
      <c r="T25" s="124">
        <v>3.8657839874447122E-8</v>
      </c>
      <c r="U25" s="124">
        <v>2.1564464989019191E-5</v>
      </c>
      <c r="V25" s="124">
        <v>1.374817566431923E-6</v>
      </c>
    </row>
    <row r="26" spans="1:22" ht="15.75" customHeight="1">
      <c r="A26" s="241" t="s">
        <v>113</v>
      </c>
      <c r="B26" s="124">
        <v>98.019114545400527</v>
      </c>
      <c r="C26" s="124">
        <v>1.9544513675744934</v>
      </c>
      <c r="D26" s="124">
        <v>4.1043478719064363E-3</v>
      </c>
      <c r="E26" s="124">
        <v>2.6434087024974625E-2</v>
      </c>
      <c r="F26" s="124">
        <v>5.5511582752446706E-5</v>
      </c>
      <c r="G26" s="124">
        <v>2.098680686552196E-4</v>
      </c>
      <c r="H26" s="124">
        <v>4.4072294417596112E-7</v>
      </c>
      <c r="I26" s="124">
        <v>7.9016320050909153E-6</v>
      </c>
      <c r="J26" s="124">
        <v>4.6277001726035397E-6</v>
      </c>
      <c r="K26" s="124"/>
      <c r="L26" s="124"/>
      <c r="M26" s="124" t="s">
        <v>32</v>
      </c>
      <c r="N26" s="124">
        <v>0.25817417339851428</v>
      </c>
      <c r="O26" s="124">
        <v>0.25347921816749486</v>
      </c>
      <c r="P26" s="124">
        <v>5.3230635815173914E-4</v>
      </c>
      <c r="Q26" s="124">
        <v>4.7098031018772881E-3</v>
      </c>
      <c r="R26" s="124">
        <v>9.8905865139423058E-6</v>
      </c>
      <c r="S26" s="124">
        <v>2.4541078211503538E-5</v>
      </c>
      <c r="T26" s="124">
        <v>5.1536264244157443E-8</v>
      </c>
      <c r="U26" s="124">
        <v>2.2138213073988768E-5</v>
      </c>
      <c r="V26" s="124">
        <v>4.8159633034253568E-7</v>
      </c>
    </row>
    <row r="27" spans="1:22" ht="15.75" customHeight="1">
      <c r="A27" s="241" t="s">
        <v>113</v>
      </c>
      <c r="B27" s="124">
        <v>97.345060953867431</v>
      </c>
      <c r="C27" s="124">
        <v>2.6281140422282361</v>
      </c>
      <c r="D27" s="124">
        <v>5.5190394886792957E-3</v>
      </c>
      <c r="E27" s="124">
        <v>2.6825003904325025E-2</v>
      </c>
      <c r="F27" s="124">
        <v>5.6332508199082543E-5</v>
      </c>
      <c r="G27" s="124">
        <v>1.1601676406378297E-4</v>
      </c>
      <c r="H27" s="124">
        <v>2.4363520453394421E-7</v>
      </c>
      <c r="I27" s="124">
        <v>2.5922154798135204E-5</v>
      </c>
      <c r="J27" s="124">
        <v>2.533821204337505E-6</v>
      </c>
      <c r="K27" s="124"/>
      <c r="L27" s="124"/>
      <c r="M27" s="124" t="s">
        <v>113</v>
      </c>
      <c r="N27" s="124">
        <v>0.28184823299592032</v>
      </c>
      <c r="O27" s="124">
        <v>0.28177433855836165</v>
      </c>
      <c r="P27" s="124">
        <v>5.9172611097256121E-4</v>
      </c>
      <c r="Q27" s="124">
        <v>4.098971201483618E-4</v>
      </c>
      <c r="R27" s="124">
        <v>8.6078395231155523E-7</v>
      </c>
      <c r="S27" s="124">
        <v>4.3289756687377184E-5</v>
      </c>
      <c r="T27" s="124">
        <v>9.0908489043492081E-8</v>
      </c>
      <c r="U27" s="124">
        <v>1.5040315358147126E-5</v>
      </c>
      <c r="V27" s="124">
        <v>1.0070362606583965E-6</v>
      </c>
    </row>
    <row r="28" spans="1:22" ht="15.75" customHeight="1">
      <c r="A28" s="241" t="s">
        <v>114</v>
      </c>
      <c r="B28" s="124">
        <v>95.280513171157182</v>
      </c>
      <c r="C28" s="124">
        <v>4.7005848615104462</v>
      </c>
      <c r="D28" s="124">
        <v>9.8712282091719377E-3</v>
      </c>
      <c r="E28" s="124">
        <v>1.8901967332367643E-2</v>
      </c>
      <c r="F28" s="124">
        <v>3.9694131397972049E-5</v>
      </c>
      <c r="G28" s="124">
        <v>1.3540827596532275E-4</v>
      </c>
      <c r="H28" s="124">
        <v>2.8435737952717775E-7</v>
      </c>
      <c r="I28" s="124">
        <v>3.318087385917456E-6</v>
      </c>
      <c r="J28" s="124">
        <v>6.0420898249170221E-6</v>
      </c>
      <c r="K28" s="124"/>
      <c r="L28" s="124"/>
      <c r="M28" s="124" t="s">
        <v>114</v>
      </c>
      <c r="N28" s="124">
        <v>0.48611074750517708</v>
      </c>
      <c r="O28" s="124">
        <v>0.48871035527960333</v>
      </c>
      <c r="P28" s="124">
        <v>1.0262917460871724E-3</v>
      </c>
      <c r="Q28" s="124">
        <v>2.8101783343406866E-3</v>
      </c>
      <c r="R28" s="124">
        <v>5.9013745021154404E-6</v>
      </c>
      <c r="S28" s="124">
        <v>9.5404340376756281E-6</v>
      </c>
      <c r="T28" s="124">
        <v>2.0034911479118812E-8</v>
      </c>
      <c r="U28" s="124">
        <v>1.5198747324418011E-5</v>
      </c>
      <c r="V28" s="124">
        <v>4.9888800566013839E-8</v>
      </c>
    </row>
    <row r="29" spans="1:22" ht="15.75" customHeight="1">
      <c r="A29" s="241" t="s">
        <v>114</v>
      </c>
      <c r="B29" s="124">
        <v>96.443808839794372</v>
      </c>
      <c r="C29" s="124">
        <v>3.5316303455162372</v>
      </c>
      <c r="D29" s="124">
        <v>7.4164237255840981E-3</v>
      </c>
      <c r="E29" s="124">
        <v>2.4560814689411521E-2</v>
      </c>
      <c r="F29" s="124">
        <v>5.1577710847764194E-5</v>
      </c>
      <c r="G29" s="124">
        <v>1.2973344424473436E-4</v>
      </c>
      <c r="H29" s="124">
        <v>2.7244023291394216E-7</v>
      </c>
      <c r="I29" s="124">
        <v>1.5205541859718263E-5</v>
      </c>
      <c r="J29" s="124">
        <v>6.1133284529482363E-6</v>
      </c>
      <c r="K29" s="124"/>
      <c r="L29" s="124"/>
      <c r="M29" s="124" t="s">
        <v>33</v>
      </c>
      <c r="N29" s="124">
        <v>0.51047668296025006</v>
      </c>
      <c r="O29" s="124">
        <v>0.50442996124414452</v>
      </c>
      <c r="P29" s="124">
        <v>1.0593029186127115E-3</v>
      </c>
      <c r="Q29" s="124">
        <v>7.3692419116047582E-3</v>
      </c>
      <c r="R29" s="124">
        <v>1.5475408014369988E-5</v>
      </c>
      <c r="S29" s="124">
        <v>4.3967278727960384E-5</v>
      </c>
      <c r="T29" s="124">
        <v>9.2331285328716807E-8</v>
      </c>
      <c r="U29" s="124">
        <v>1.3666274639895948E-5</v>
      </c>
      <c r="V29" s="124">
        <v>1.8351233909717651E-6</v>
      </c>
    </row>
    <row r="30" spans="1:22" ht="15.75" customHeight="1">
      <c r="A30" s="241" t="s">
        <v>114</v>
      </c>
      <c r="B30" s="124">
        <v>96.082215215337015</v>
      </c>
      <c r="C30" s="124">
        <v>3.8926592744495698</v>
      </c>
      <c r="D30" s="124">
        <v>8.1745844763440965E-3</v>
      </c>
      <c r="E30" s="124">
        <v>2.5125510213399743E-2</v>
      </c>
      <c r="F30" s="124">
        <v>5.2763571448139455E-5</v>
      </c>
      <c r="G30" s="124">
        <v>1.5220340148483548E-4</v>
      </c>
      <c r="H30" s="124">
        <v>3.196271431181545E-7</v>
      </c>
      <c r="I30" s="124">
        <v>3.9815455332915751E-5</v>
      </c>
      <c r="J30" s="124">
        <v>5.991721876470143E-6</v>
      </c>
      <c r="K30" s="124"/>
      <c r="L30" s="124"/>
      <c r="M30" s="124" t="s">
        <v>34</v>
      </c>
      <c r="N30" s="124">
        <v>0.23687360327190676</v>
      </c>
      <c r="O30" s="124">
        <v>0.23965616197031747</v>
      </c>
      <c r="P30" s="124">
        <v>5.0327794013766563E-4</v>
      </c>
      <c r="Q30" s="124">
        <v>5.3686224169072136E-3</v>
      </c>
      <c r="R30" s="124">
        <v>1.1274107075505151E-5</v>
      </c>
      <c r="S30" s="124">
        <v>7.768972920567687E-8</v>
      </c>
      <c r="T30" s="124">
        <v>1.6314843133194345E-10</v>
      </c>
      <c r="U30" s="124">
        <v>1.3417301184543258E-5</v>
      </c>
      <c r="V30" s="124">
        <v>1.7536651596333716E-7</v>
      </c>
    </row>
    <row r="31" spans="1:22" ht="15.75" customHeight="1">
      <c r="A31" s="241" t="s">
        <v>33</v>
      </c>
      <c r="B31" s="124">
        <v>95.543478296052456</v>
      </c>
      <c r="C31" s="124">
        <v>4.4141733075463039</v>
      </c>
      <c r="D31" s="124">
        <v>9.2697639458472376E-3</v>
      </c>
      <c r="E31" s="124">
        <v>4.2348396401246671E-2</v>
      </c>
      <c r="F31" s="124">
        <v>8.8931632442618003E-5</v>
      </c>
      <c r="G31" s="124">
        <v>2.6843974683594425E-4</v>
      </c>
      <c r="H31" s="124">
        <v>5.6372346835548289E-7</v>
      </c>
      <c r="I31" s="124">
        <v>8.9394046180572145E-6</v>
      </c>
      <c r="J31" s="124">
        <v>8.0842581092595591E-6</v>
      </c>
      <c r="K31" s="124"/>
      <c r="L31" s="124"/>
      <c r="M31" s="124" t="s">
        <v>115</v>
      </c>
      <c r="N31" s="124">
        <v>0.4360182675030212</v>
      </c>
      <c r="O31" s="124">
        <v>0.43226945163844299</v>
      </c>
      <c r="P31" s="124">
        <v>9.0776584844073059E-4</v>
      </c>
      <c r="Q31" s="124">
        <v>4.7897047327988005E-3</v>
      </c>
      <c r="R31" s="124">
        <v>1.0058379938877478E-5</v>
      </c>
      <c r="S31" s="124">
        <v>2.6508722477549152E-5</v>
      </c>
      <c r="T31" s="124">
        <v>5.5668317202853218E-8</v>
      </c>
      <c r="U31" s="124">
        <v>1.5843953418702278E-5</v>
      </c>
      <c r="V31" s="124">
        <v>1.5245755681351156E-6</v>
      </c>
    </row>
    <row r="32" spans="1:22" ht="15.75" customHeight="1">
      <c r="A32" s="241" t="s">
        <v>33</v>
      </c>
      <c r="B32" s="124">
        <v>95.469387536842703</v>
      </c>
      <c r="C32" s="124">
        <v>4.4976223360341532</v>
      </c>
      <c r="D32" s="124">
        <v>9.4450069056717205E-3</v>
      </c>
      <c r="E32" s="124">
        <v>3.2990127123146196E-2</v>
      </c>
      <c r="F32" s="124">
        <v>6.9279266958607007E-5</v>
      </c>
      <c r="G32" s="124">
        <v>1.7942639741636235E-4</v>
      </c>
      <c r="H32" s="124">
        <v>3.7679543457436091E-7</v>
      </c>
      <c r="I32" s="124">
        <v>4.2277554790364035E-5</v>
      </c>
      <c r="J32" s="124">
        <v>5.5486148755528317E-6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</row>
    <row r="33" spans="1:10" ht="15.75" customHeight="1">
      <c r="A33" s="241" t="s">
        <v>33</v>
      </c>
      <c r="B33" s="124">
        <v>96.587414838987101</v>
      </c>
      <c r="C33" s="124">
        <v>3.3882835043343391</v>
      </c>
      <c r="D33" s="124">
        <v>7.1153953591021118E-3</v>
      </c>
      <c r="E33" s="124">
        <v>2.4301656678569625E-2</v>
      </c>
      <c r="F33" s="124">
        <v>5.1033479024996214E-5</v>
      </c>
      <c r="G33" s="124">
        <v>1.7143054920419959E-4</v>
      </c>
      <c r="H33" s="124">
        <v>3.6000415332881911E-7</v>
      </c>
      <c r="I33" s="124">
        <v>2.2985963981603201E-5</v>
      </c>
      <c r="J33" s="124">
        <v>3.6020259066330184E-6</v>
      </c>
    </row>
    <row r="34" spans="1:10" ht="15.75" customHeight="1">
      <c r="A34" s="241" t="s">
        <v>34</v>
      </c>
      <c r="B34" s="124">
        <v>94.955916484819909</v>
      </c>
      <c r="C34" s="124">
        <v>5.0262061928239339</v>
      </c>
      <c r="D34" s="124">
        <v>1.0555033004930259E-2</v>
      </c>
      <c r="E34" s="124">
        <v>1.7877322356165244E-2</v>
      </c>
      <c r="F34" s="124">
        <v>3.7542376947947012E-5</v>
      </c>
      <c r="G34" s="124">
        <v>1.5303355391589754E-4</v>
      </c>
      <c r="H34" s="124">
        <v>3.2137046322338478E-7</v>
      </c>
      <c r="I34" s="124">
        <v>8.9169864602387972E-6</v>
      </c>
      <c r="J34" s="124">
        <v>1.3373846974476828E-5</v>
      </c>
    </row>
    <row r="35" spans="1:10" ht="15.75" customHeight="1">
      <c r="A35" s="241" t="s">
        <v>34</v>
      </c>
      <c r="B35" s="124">
        <v>95.355982233036769</v>
      </c>
      <c r="C35" s="124">
        <v>4.6133233181609157</v>
      </c>
      <c r="D35" s="124">
        <v>9.6879789681379239E-3</v>
      </c>
      <c r="E35" s="124">
        <v>3.0694448802309319E-2</v>
      </c>
      <c r="F35" s="124">
        <v>6.4458342484849574E-5</v>
      </c>
      <c r="G35" s="124">
        <v>1.530936434592861E-4</v>
      </c>
      <c r="H35" s="124">
        <v>3.214966512645008E-7</v>
      </c>
      <c r="I35" s="124">
        <v>2.476666887889789E-5</v>
      </c>
      <c r="J35" s="124">
        <v>3.8366616542608989E-6</v>
      </c>
    </row>
    <row r="36" spans="1:10" ht="15.75" customHeight="1">
      <c r="A36" s="241" t="s">
        <v>34</v>
      </c>
      <c r="B36" s="124">
        <v>95.519888248715262</v>
      </c>
      <c r="C36" s="124">
        <v>4.4583734983706655</v>
      </c>
      <c r="D36" s="124">
        <v>9.3625843465783981E-3</v>
      </c>
      <c r="E36" s="124">
        <v>2.1738252914075457E-2</v>
      </c>
      <c r="F36" s="124">
        <v>4.565033111955846E-5</v>
      </c>
      <c r="G36" s="124">
        <v>1.5321997182527776E-4</v>
      </c>
      <c r="H36" s="124">
        <v>3.2176194083308331E-7</v>
      </c>
      <c r="I36" s="124">
        <v>4.1775711146999075E-5</v>
      </c>
      <c r="J36" s="124">
        <v>3.4859286223342246E-6</v>
      </c>
    </row>
    <row r="37" spans="1:10" ht="15.75" customHeight="1">
      <c r="A37" s="241" t="s">
        <v>115</v>
      </c>
      <c r="B37" s="124">
        <v>95.064525567517734</v>
      </c>
      <c r="C37" s="124">
        <v>4.9029336830509846</v>
      </c>
      <c r="D37" s="124">
        <v>1.0296160734407069E-2</v>
      </c>
      <c r="E37" s="124">
        <v>3.254074943128215E-2</v>
      </c>
      <c r="F37" s="124">
        <v>6.8335573805692511E-5</v>
      </c>
      <c r="G37" s="124">
        <v>1.6523493561766331E-4</v>
      </c>
      <c r="H37" s="124">
        <v>3.4699336479709298E-7</v>
      </c>
      <c r="I37" s="124">
        <v>2.9639839444141157E-5</v>
      </c>
      <c r="J37" s="124">
        <v>7.9330057359878736E-6</v>
      </c>
    </row>
    <row r="38" spans="1:10" ht="15.75" customHeight="1">
      <c r="A38" s="241" t="s">
        <v>115</v>
      </c>
      <c r="B38" s="124">
        <v>96.13162873567245</v>
      </c>
      <c r="C38" s="124">
        <v>3.8447286597421524</v>
      </c>
      <c r="D38" s="124">
        <v>8.0739301854585201E-3</v>
      </c>
      <c r="E38" s="124">
        <v>2.3642604585399504E-2</v>
      </c>
      <c r="F38" s="124">
        <v>4.9649469629338963E-5</v>
      </c>
      <c r="G38" s="124">
        <v>1.161873020148716E-4</v>
      </c>
      <c r="H38" s="124">
        <v>2.4399333423123033E-7</v>
      </c>
      <c r="I38" s="124">
        <v>3.9379150116189739E-5</v>
      </c>
      <c r="J38" s="124">
        <v>7.1106418181172523E-6</v>
      </c>
    </row>
    <row r="39" spans="1:10" ht="15.75" customHeight="1">
      <c r="A39" s="241" t="s">
        <v>115</v>
      </c>
      <c r="B39" s="124">
        <v>95.636441256812574</v>
      </c>
      <c r="C39" s="124">
        <v>4.3420892248263554</v>
      </c>
      <c r="D39" s="124">
        <v>9.1183873721353455E-3</v>
      </c>
      <c r="E39" s="124">
        <v>2.1469518361075753E-2</v>
      </c>
      <c r="F39" s="124">
        <v>4.5085988558259082E-5</v>
      </c>
      <c r="G39" s="124">
        <v>1.7756153104920539E-4</v>
      </c>
      <c r="H39" s="124">
        <v>3.7287921520333126E-7</v>
      </c>
      <c r="I39" s="124">
        <v>1.9749248517335542E-6</v>
      </c>
      <c r="J39" s="124">
        <v>4.3671009408538487E-6</v>
      </c>
    </row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Evaluation</vt:lpstr>
      <vt:lpstr>DNA NEB DIGEST</vt:lpstr>
      <vt:lpstr>Mastermix</vt:lpstr>
      <vt:lpstr>Final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</dc:creator>
  <cp:lastModifiedBy>MC Cardoso</cp:lastModifiedBy>
  <dcterms:created xsi:type="dcterms:W3CDTF">2015-12-08T23:19:57Z</dcterms:created>
  <dcterms:modified xsi:type="dcterms:W3CDTF">2022-08-07T12:17:30Z</dcterms:modified>
</cp:coreProperties>
</file>